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åre orsvik\Documents\NetObjects Fusion 2015\User Sites\Sund Hjortevald 20160802\2019\"/>
    </mc:Choice>
  </mc:AlternateContent>
  <xr:revisionPtr revIDLastSave="0" documentId="8_{E2FF3AB8-3B4C-40DD-A95D-1F1FE15988A0}" xr6:coauthVersionLast="45" xr6:coauthVersionMax="45" xr10:uidLastSave="{00000000-0000-0000-0000-000000000000}"/>
  <bookViews>
    <workbookView xWindow="-120" yWindow="-120" windowWidth="29040" windowHeight="15840" xr2:uid="{E7DB725D-49DF-47C6-BD1A-CF8029EDD45F}"/>
  </bookViews>
  <sheets>
    <sheet name="2019_felte_dyr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7" i="1" l="1"/>
  <c r="H107" i="1"/>
  <c r="G107" i="1"/>
  <c r="F107" i="1"/>
  <c r="E107" i="1"/>
  <c r="I94" i="1"/>
  <c r="I95" i="1" s="1"/>
  <c r="H94" i="1"/>
  <c r="H95" i="1" s="1"/>
  <c r="G94" i="1"/>
  <c r="G95" i="1" s="1"/>
  <c r="F94" i="1"/>
  <c r="E94" i="1"/>
  <c r="I93" i="1"/>
  <c r="I97" i="1" s="1"/>
  <c r="H93" i="1"/>
  <c r="H97" i="1" s="1"/>
  <c r="G93" i="1"/>
  <c r="G97" i="1" s="1"/>
  <c r="F93" i="1"/>
  <c r="F95" i="1" s="1"/>
  <c r="E93" i="1"/>
  <c r="E95" i="1" s="1"/>
  <c r="C88" i="1"/>
  <c r="I87" i="1"/>
  <c r="H87" i="1"/>
  <c r="G87" i="1"/>
  <c r="F87" i="1"/>
  <c r="E87" i="1"/>
  <c r="J87" i="1" s="1"/>
  <c r="K87" i="1" s="1"/>
  <c r="D87" i="1"/>
  <c r="I86" i="1"/>
  <c r="H86" i="1"/>
  <c r="G86" i="1"/>
  <c r="F86" i="1"/>
  <c r="E86" i="1"/>
  <c r="J86" i="1" s="1"/>
  <c r="K86" i="1" s="1"/>
  <c r="D86" i="1"/>
  <c r="I85" i="1"/>
  <c r="H85" i="1"/>
  <c r="G85" i="1"/>
  <c r="F85" i="1"/>
  <c r="E85" i="1"/>
  <c r="J85" i="1" s="1"/>
  <c r="K85" i="1" s="1"/>
  <c r="B85" i="1"/>
  <c r="I84" i="1"/>
  <c r="H84" i="1"/>
  <c r="G84" i="1"/>
  <c r="F84" i="1"/>
  <c r="E84" i="1"/>
  <c r="J84" i="1" s="1"/>
  <c r="K84" i="1" s="1"/>
  <c r="I83" i="1"/>
  <c r="H83" i="1"/>
  <c r="G83" i="1"/>
  <c r="F83" i="1"/>
  <c r="E83" i="1"/>
  <c r="J83" i="1" s="1"/>
  <c r="K83" i="1" s="1"/>
  <c r="D83" i="1"/>
  <c r="I82" i="1"/>
  <c r="H82" i="1"/>
  <c r="G82" i="1"/>
  <c r="F82" i="1"/>
  <c r="E82" i="1"/>
  <c r="J82" i="1" s="1"/>
  <c r="K82" i="1" s="1"/>
  <c r="D82" i="1"/>
  <c r="B82" i="1"/>
  <c r="I81" i="1"/>
  <c r="H81" i="1"/>
  <c r="G81" i="1"/>
  <c r="F81" i="1"/>
  <c r="E81" i="1"/>
  <c r="J81" i="1" s="1"/>
  <c r="K81" i="1" s="1"/>
  <c r="D81" i="1"/>
  <c r="I80" i="1"/>
  <c r="H80" i="1"/>
  <c r="G80" i="1"/>
  <c r="F80" i="1"/>
  <c r="E80" i="1"/>
  <c r="J80" i="1" s="1"/>
  <c r="K80" i="1" s="1"/>
  <c r="B80" i="1"/>
  <c r="I79" i="1"/>
  <c r="H79" i="1"/>
  <c r="G79" i="1"/>
  <c r="F79" i="1"/>
  <c r="J79" i="1" s="1"/>
  <c r="K79" i="1" s="1"/>
  <c r="E79" i="1"/>
  <c r="D79" i="1"/>
  <c r="I78" i="1"/>
  <c r="H78" i="1"/>
  <c r="G78" i="1"/>
  <c r="F78" i="1"/>
  <c r="J78" i="1" s="1"/>
  <c r="K78" i="1" s="1"/>
  <c r="E78" i="1"/>
  <c r="D78" i="1"/>
  <c r="I77" i="1"/>
  <c r="H77" i="1"/>
  <c r="G77" i="1"/>
  <c r="F77" i="1"/>
  <c r="J77" i="1" s="1"/>
  <c r="K77" i="1" s="1"/>
  <c r="E77" i="1"/>
  <c r="D77" i="1"/>
  <c r="I76" i="1"/>
  <c r="H76" i="1"/>
  <c r="G76" i="1"/>
  <c r="F76" i="1"/>
  <c r="I75" i="1"/>
  <c r="H75" i="1"/>
  <c r="G75" i="1"/>
  <c r="F75" i="1"/>
  <c r="J75" i="1" s="1"/>
  <c r="K75" i="1" s="1"/>
  <c r="E75" i="1"/>
  <c r="D75" i="1"/>
  <c r="I74" i="1"/>
  <c r="H74" i="1"/>
  <c r="G74" i="1"/>
  <c r="F74" i="1"/>
  <c r="J74" i="1" s="1"/>
  <c r="K74" i="1" s="1"/>
  <c r="E74" i="1"/>
  <c r="H73" i="1"/>
  <c r="G73" i="1"/>
  <c r="F73" i="1"/>
  <c r="E73" i="1"/>
  <c r="I72" i="1"/>
  <c r="H72" i="1"/>
  <c r="G72" i="1"/>
  <c r="F72" i="1"/>
  <c r="J72" i="1" s="1"/>
  <c r="K72" i="1" s="1"/>
  <c r="E72" i="1"/>
  <c r="I71" i="1"/>
  <c r="H71" i="1"/>
  <c r="G71" i="1"/>
  <c r="F71" i="1"/>
  <c r="J71" i="1" s="1"/>
  <c r="K71" i="1" s="1"/>
  <c r="E71" i="1"/>
  <c r="B71" i="1"/>
  <c r="I70" i="1"/>
  <c r="H70" i="1"/>
  <c r="G70" i="1"/>
  <c r="J70" i="1" s="1"/>
  <c r="K70" i="1" s="1"/>
  <c r="F70" i="1"/>
  <c r="E70" i="1"/>
  <c r="I69" i="1"/>
  <c r="H69" i="1"/>
  <c r="G69" i="1"/>
  <c r="J69" i="1" s="1"/>
  <c r="K69" i="1" s="1"/>
  <c r="F69" i="1"/>
  <c r="E69" i="1"/>
  <c r="D69" i="1"/>
  <c r="I68" i="1"/>
  <c r="H68" i="1"/>
  <c r="G68" i="1"/>
  <c r="J68" i="1" s="1"/>
  <c r="K68" i="1" s="1"/>
  <c r="F68" i="1"/>
  <c r="E68" i="1"/>
  <c r="D68" i="1"/>
  <c r="B68" i="1"/>
  <c r="I67" i="1"/>
  <c r="H67" i="1"/>
  <c r="G67" i="1"/>
  <c r="F67" i="1"/>
  <c r="E67" i="1"/>
  <c r="J67" i="1" s="1"/>
  <c r="K67" i="1" s="1"/>
  <c r="B67" i="1"/>
  <c r="B88" i="1" s="1"/>
  <c r="I66" i="1"/>
  <c r="H66" i="1"/>
  <c r="G66" i="1"/>
  <c r="F66" i="1"/>
  <c r="E66" i="1"/>
  <c r="J66" i="1" s="1"/>
  <c r="K66" i="1" s="1"/>
  <c r="D66" i="1"/>
  <c r="I65" i="1"/>
  <c r="H65" i="1"/>
  <c r="F65" i="1"/>
  <c r="E65" i="1"/>
  <c r="D65" i="1"/>
  <c r="I64" i="1"/>
  <c r="H64" i="1"/>
  <c r="G64" i="1"/>
  <c r="F64" i="1"/>
  <c r="E64" i="1"/>
  <c r="J64" i="1" s="1"/>
  <c r="K64" i="1" s="1"/>
  <c r="I63" i="1"/>
  <c r="H63" i="1"/>
  <c r="G63" i="1"/>
  <c r="F63" i="1"/>
  <c r="E63" i="1"/>
  <c r="J63" i="1" s="1"/>
  <c r="K63" i="1" s="1"/>
  <c r="D63" i="1"/>
  <c r="I62" i="1"/>
  <c r="F62" i="1"/>
  <c r="F88" i="1" s="1"/>
  <c r="L60" i="1"/>
  <c r="J45" i="1"/>
  <c r="I43" i="1"/>
  <c r="I102" i="1" s="1"/>
  <c r="H43" i="1"/>
  <c r="H102" i="1" s="1"/>
  <c r="G43" i="1"/>
  <c r="G102" i="1" s="1"/>
  <c r="F43" i="1"/>
  <c r="F102" i="1" s="1"/>
  <c r="E43" i="1"/>
  <c r="E102" i="1" s="1"/>
  <c r="J102" i="1" s="1"/>
  <c r="I42" i="1"/>
  <c r="I101" i="1" s="1"/>
  <c r="H42" i="1"/>
  <c r="H101" i="1" s="1"/>
  <c r="G42" i="1"/>
  <c r="G101" i="1" s="1"/>
  <c r="F42" i="1"/>
  <c r="F101" i="1" s="1"/>
  <c r="E42" i="1"/>
  <c r="E101" i="1" s="1"/>
  <c r="I41" i="1"/>
  <c r="H41" i="1"/>
  <c r="H100" i="1" s="1"/>
  <c r="G41" i="1"/>
  <c r="G100" i="1" s="1"/>
  <c r="F41" i="1"/>
  <c r="F100" i="1" s="1"/>
  <c r="E41" i="1"/>
  <c r="E100" i="1" s="1"/>
  <c r="I40" i="1"/>
  <c r="H40" i="1"/>
  <c r="G40" i="1"/>
  <c r="F40" i="1"/>
  <c r="E40" i="1"/>
  <c r="G38" i="1"/>
  <c r="F38" i="1"/>
  <c r="F37" i="1"/>
  <c r="G37" i="1" s="1"/>
  <c r="F36" i="1"/>
  <c r="G30" i="1" s="1"/>
  <c r="F35" i="1"/>
  <c r="G35" i="1" s="1"/>
  <c r="G34" i="1"/>
  <c r="F34" i="1"/>
  <c r="T30" i="1"/>
  <c r="I30" i="1"/>
  <c r="F30" i="1"/>
  <c r="E30" i="1"/>
  <c r="H29" i="1"/>
  <c r="H44" i="1" s="1"/>
  <c r="G29" i="1"/>
  <c r="G44" i="1" s="1"/>
  <c r="F29" i="1"/>
  <c r="F44" i="1" s="1"/>
  <c r="C29" i="1"/>
  <c r="K28" i="1"/>
  <c r="J28" i="1"/>
  <c r="J27" i="1"/>
  <c r="K27" i="1" s="1"/>
  <c r="K26" i="1"/>
  <c r="L26" i="1" s="1"/>
  <c r="J26" i="1"/>
  <c r="Q26" i="1" s="1"/>
  <c r="D26" i="1"/>
  <c r="D85" i="1" s="1"/>
  <c r="B26" i="1"/>
  <c r="J25" i="1"/>
  <c r="D25" i="1"/>
  <c r="D84" i="1" s="1"/>
  <c r="W24" i="1"/>
  <c r="W25" i="1" s="1"/>
  <c r="K24" i="1"/>
  <c r="L24" i="1" s="1"/>
  <c r="J24" i="1"/>
  <c r="Q24" i="1" s="1"/>
  <c r="Q23" i="1"/>
  <c r="K23" i="1"/>
  <c r="L23" i="1" s="1"/>
  <c r="J23" i="1"/>
  <c r="B23" i="1"/>
  <c r="W22" i="1"/>
  <c r="X19" i="1" s="1"/>
  <c r="X20" i="1" s="1"/>
  <c r="Y20" i="1" s="1"/>
  <c r="K22" i="1"/>
  <c r="L22" i="1" s="1"/>
  <c r="J22" i="1"/>
  <c r="Q22" i="1" s="1"/>
  <c r="J21" i="1"/>
  <c r="K21" i="1" s="1"/>
  <c r="D21" i="1"/>
  <c r="D80" i="1" s="1"/>
  <c r="B21" i="1"/>
  <c r="Q20" i="1"/>
  <c r="J20" i="1"/>
  <c r="K20" i="1" s="1"/>
  <c r="L20" i="1" s="1"/>
  <c r="J19" i="1"/>
  <c r="K18" i="1"/>
  <c r="L18" i="1" s="1"/>
  <c r="J18" i="1"/>
  <c r="Q18" i="1" s="1"/>
  <c r="J17" i="1"/>
  <c r="E17" i="1"/>
  <c r="E76" i="1" s="1"/>
  <c r="J76" i="1" s="1"/>
  <c r="K76" i="1" s="1"/>
  <c r="D17" i="1"/>
  <c r="D76" i="1" s="1"/>
  <c r="J16" i="1"/>
  <c r="J15" i="1"/>
  <c r="K15" i="1" s="1"/>
  <c r="D15" i="1"/>
  <c r="D74" i="1" s="1"/>
  <c r="I14" i="1"/>
  <c r="I29" i="1" s="1"/>
  <c r="I44" i="1" s="1"/>
  <c r="D14" i="1"/>
  <c r="D73" i="1" s="1"/>
  <c r="L13" i="1"/>
  <c r="K13" i="1"/>
  <c r="J13" i="1"/>
  <c r="Q13" i="1" s="1"/>
  <c r="D13" i="1"/>
  <c r="D72" i="1" s="1"/>
  <c r="W12" i="1"/>
  <c r="J12" i="1"/>
  <c r="K12" i="1" s="1"/>
  <c r="D12" i="1"/>
  <c r="D71" i="1" s="1"/>
  <c r="B12" i="1"/>
  <c r="K11" i="1"/>
  <c r="Q11" i="1" s="1"/>
  <c r="J11" i="1"/>
  <c r="D11" i="1"/>
  <c r="D70" i="1" s="1"/>
  <c r="J10" i="1"/>
  <c r="Q10" i="1" s="1"/>
  <c r="X9" i="1"/>
  <c r="Q9" i="1"/>
  <c r="J9" i="1"/>
  <c r="K9" i="1" s="1"/>
  <c r="L9" i="1" s="1"/>
  <c r="B9" i="1"/>
  <c r="J8" i="1"/>
  <c r="D8" i="1"/>
  <c r="D67" i="1" s="1"/>
  <c r="B8" i="1"/>
  <c r="B29" i="1" s="1"/>
  <c r="J7" i="1"/>
  <c r="G6" i="1"/>
  <c r="G65" i="1" s="1"/>
  <c r="K5" i="1"/>
  <c r="L5" i="1" s="1"/>
  <c r="J5" i="1"/>
  <c r="Q5" i="1" s="1"/>
  <c r="D5" i="1"/>
  <c r="D29" i="1" s="1"/>
  <c r="D31" i="1" s="1"/>
  <c r="K4" i="1"/>
  <c r="L4" i="1" s="1"/>
  <c r="J4" i="1"/>
  <c r="Q4" i="1" s="1"/>
  <c r="J3" i="1"/>
  <c r="I3" i="1"/>
  <c r="H3" i="1"/>
  <c r="H62" i="1" s="1"/>
  <c r="H88" i="1" s="1"/>
  <c r="G3" i="1"/>
  <c r="G62" i="1" s="1"/>
  <c r="G88" i="1" s="1"/>
  <c r="E3" i="1"/>
  <c r="E62" i="1" s="1"/>
  <c r="D3" i="1"/>
  <c r="D32" i="1" s="1"/>
  <c r="D91" i="1" l="1"/>
  <c r="I31" i="1"/>
  <c r="I91" i="1" s="1"/>
  <c r="H31" i="1"/>
  <c r="H91" i="1" s="1"/>
  <c r="G31" i="1"/>
  <c r="G91" i="1" s="1"/>
  <c r="F31" i="1"/>
  <c r="F91" i="1" s="1"/>
  <c r="E31" i="1"/>
  <c r="E91" i="1" s="1"/>
  <c r="Q27" i="1"/>
  <c r="L27" i="1"/>
  <c r="G90" i="1"/>
  <c r="Q12" i="1"/>
  <c r="L12" i="1"/>
  <c r="E88" i="1"/>
  <c r="J62" i="1"/>
  <c r="I89" i="1"/>
  <c r="I103" i="1"/>
  <c r="Q15" i="1"/>
  <c r="L15" i="1"/>
  <c r="I46" i="1"/>
  <c r="F89" i="1"/>
  <c r="F90" i="1" s="1"/>
  <c r="F103" i="1"/>
  <c r="F105" i="1" s="1"/>
  <c r="G39" i="1"/>
  <c r="J101" i="1"/>
  <c r="G89" i="1"/>
  <c r="G103" i="1"/>
  <c r="G105" i="1" s="1"/>
  <c r="H89" i="1"/>
  <c r="H90" i="1" s="1"/>
  <c r="H103" i="1"/>
  <c r="H105" i="1" s="1"/>
  <c r="J65" i="1"/>
  <c r="K65" i="1" s="1"/>
  <c r="Q21" i="1"/>
  <c r="L21" i="1"/>
  <c r="J100" i="1"/>
  <c r="J6" i="1"/>
  <c r="E29" i="1"/>
  <c r="F39" i="1"/>
  <c r="J43" i="1"/>
  <c r="E97" i="1"/>
  <c r="L32" i="1"/>
  <c r="F46" i="1"/>
  <c r="F97" i="1"/>
  <c r="I100" i="1"/>
  <c r="J42" i="1"/>
  <c r="G46" i="1"/>
  <c r="D62" i="1"/>
  <c r="D64" i="1"/>
  <c r="I73" i="1"/>
  <c r="J73" i="1" s="1"/>
  <c r="K73" i="1" s="1"/>
  <c r="K3" i="1"/>
  <c r="K8" i="1"/>
  <c r="L8" i="1" s="1"/>
  <c r="L11" i="1"/>
  <c r="J14" i="1"/>
  <c r="K17" i="1"/>
  <c r="L17" i="1" s="1"/>
  <c r="K19" i="1"/>
  <c r="L19" i="1" s="1"/>
  <c r="G36" i="1"/>
  <c r="H46" i="1"/>
  <c r="J41" i="1"/>
  <c r="Q3" i="1"/>
  <c r="K7" i="1"/>
  <c r="L7" i="1" s="1"/>
  <c r="K10" i="1"/>
  <c r="L10" i="1" s="1"/>
  <c r="K16" i="1"/>
  <c r="L16" i="1" s="1"/>
  <c r="K25" i="1"/>
  <c r="L25" i="1" s="1"/>
  <c r="H30" i="1"/>
  <c r="D30" i="1" s="1"/>
  <c r="Q6" i="1" l="1"/>
  <c r="K6" i="1"/>
  <c r="L6" i="1" s="1"/>
  <c r="L34" i="1"/>
  <c r="Q19" i="1"/>
  <c r="Q16" i="1"/>
  <c r="I88" i="1"/>
  <c r="I90" i="1" s="1"/>
  <c r="I92" i="1" s="1"/>
  <c r="F92" i="1"/>
  <c r="D88" i="1"/>
  <c r="Q7" i="1"/>
  <c r="G92" i="1"/>
  <c r="J29" i="1"/>
  <c r="H92" i="1"/>
  <c r="K29" i="1"/>
  <c r="L29" i="1" s="1"/>
  <c r="L3" i="1"/>
  <c r="Q17" i="1"/>
  <c r="K14" i="1"/>
  <c r="L14" i="1" s="1"/>
  <c r="I105" i="1"/>
  <c r="J32" i="1"/>
  <c r="L33" i="1"/>
  <c r="K33" i="1"/>
  <c r="J33" i="1"/>
  <c r="E44" i="1"/>
  <c r="K32" i="1"/>
  <c r="Q8" i="1"/>
  <c r="Q25" i="1"/>
  <c r="K62" i="1"/>
  <c r="K88" i="1" s="1"/>
  <c r="J88" i="1"/>
  <c r="E103" i="1" l="1"/>
  <c r="J44" i="1"/>
  <c r="J46" i="1" s="1"/>
  <c r="E89" i="1"/>
  <c r="E46" i="1"/>
  <c r="E47" i="1" s="1"/>
  <c r="E49" i="1" s="1"/>
  <c r="Q14" i="1"/>
  <c r="V23" i="1"/>
  <c r="Q29" i="1"/>
  <c r="N33" i="1"/>
  <c r="M33" i="1"/>
  <c r="K34" i="1"/>
  <c r="N32" i="1"/>
  <c r="N34" i="1" s="1"/>
  <c r="J34" i="1"/>
  <c r="M32" i="1"/>
  <c r="M34" i="1" s="1"/>
  <c r="D89" i="1" l="1"/>
  <c r="E90" i="1"/>
  <c r="I47" i="1"/>
  <c r="I49" i="1" s="1"/>
  <c r="H47" i="1"/>
  <c r="H49" i="1" s="1"/>
  <c r="G47" i="1"/>
  <c r="G49" i="1" s="1"/>
  <c r="F47" i="1"/>
  <c r="F49" i="1" s="1"/>
  <c r="F48" i="1"/>
  <c r="J103" i="1"/>
  <c r="J105" i="1" s="1"/>
  <c r="E105" i="1"/>
  <c r="D90" i="1" l="1"/>
  <c r="E92" i="1"/>
  <c r="G108" i="1"/>
  <c r="G109" i="1" s="1"/>
  <c r="F108" i="1"/>
  <c r="F109" i="1" s="1"/>
  <c r="I108" i="1"/>
  <c r="I109" i="1" s="1"/>
  <c r="H108" i="1"/>
  <c r="H109" i="1" s="1"/>
  <c r="E108" i="1"/>
  <c r="G106" i="1"/>
  <c r="F106" i="1"/>
  <c r="H106" i="1"/>
  <c r="I106" i="1"/>
  <c r="E106" i="1"/>
  <c r="E109" i="1" l="1"/>
  <c r="J10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Kåre Torsvik</author>
    <author/>
  </authors>
  <commentList>
    <comment ref="D3" authorId="0" shapeId="0" xr:uid="{947B5C24-1E19-4A50-9F16-F4CB29D8F198}">
      <text>
        <r>
          <rPr>
            <b/>
            <sz val="9"/>
            <color indexed="81"/>
            <rFont val="Tahoma"/>
            <family val="2"/>
          </rPr>
          <t>Tilleggsløyve kolle + kalv og bukk (6 tagger) 15.09.19 + tillggsløyve kolle, 2 kalver og bukk (6-8 tagger) 05.10.19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 xr:uid="{A2E77AB9-FDBF-4B01-A2E2-5AF8C4581486}">
      <text>
        <r>
          <rPr>
            <b/>
            <sz val="9"/>
            <color indexed="81"/>
            <rFont val="Tahoma"/>
            <family val="2"/>
          </rPr>
          <t>Kalv, han felt 07.09.2019 15 kg (AF) + Kalv han felt 08.09.19 28 kg (AF) + kalv, ho felt 28.09.19  25 kg (AF) + kalv, ho felt 13.10.19 22 kg (AF) + kalv, ho felt 27.10.19 20 kg (AF)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" authorId="0" shapeId="0" xr:uid="{11B39B94-3DE0-45D8-905D-42124B5BFC34}">
      <text>
        <r>
          <rPr>
            <b/>
            <sz val="9"/>
            <color indexed="81"/>
            <rFont val="Tahoma"/>
            <charset val="1"/>
          </rPr>
          <t>Fjoråskolle felt 01.09.19  40 kg (AF) + ungkolle felt 13.09.19  52 kg (AF)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" authorId="0" shapeId="0" xr:uid="{7AA87631-3EDC-4CC1-9B15-731060BDB274}">
      <text>
        <r>
          <rPr>
            <b/>
            <sz val="9"/>
            <color indexed="81"/>
            <rFont val="Tahoma"/>
            <charset val="1"/>
          </rPr>
          <t>Spissbukk felt 13.09.19 38 kg (AF) + Spissbukk felt 13.09.19 48 kg (AF) + Spissbukk felt 21.09.19 47 kg (AF)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" authorId="0" shapeId="0" xr:uid="{DA3BC879-5782-4CE9-B18D-D072C998E3EF}">
      <text>
        <r>
          <rPr>
            <b/>
            <sz val="9"/>
            <color indexed="81"/>
            <rFont val="Tahoma"/>
            <family val="2"/>
          </rPr>
          <t>Kolle felt 03.09.19  78 kg (AF) + Kolle felt 08.09.19 75 kg (AF) + Kolle felt 21.09.19 45 kg (AF) + kolle felt 27.10.2019 54 kg (AF)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 shapeId="0" xr:uid="{53FB1EC4-BB22-4CDD-86FD-BA0EB105697A}">
      <text>
        <r>
          <rPr>
            <b/>
            <sz val="9"/>
            <color indexed="81"/>
            <rFont val="Tahoma"/>
            <family val="2"/>
          </rPr>
          <t>Bukk 9 tagger felt 03.09.19 105 kg (AF)</t>
        </r>
        <r>
          <rPr>
            <sz val="9"/>
            <color indexed="81"/>
            <rFont val="Tahoma"/>
            <family val="2"/>
          </rPr>
          <t xml:space="preserve">
+ Bukk 8 tagger felt 06.09.19 135 kg (AF) + bukk, 6 tagger felt 13.10.19 52 kg (AF)</t>
        </r>
      </text>
    </comment>
    <comment ref="D5" authorId="0" shapeId="0" xr:uid="{3C1E8F8D-E08A-4429-8CE5-A6487DC18D76}">
      <text>
        <r>
          <rPr>
            <b/>
            <sz val="9"/>
            <color indexed="81"/>
            <rFont val="Tahoma"/>
            <family val="2"/>
          </rPr>
          <t>Tilleggsløyve kolle + kalv 05.10.19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C8150AF1-8B66-47DF-AF21-E6A661B3A2AB}">
      <text>
        <r>
          <rPr>
            <b/>
            <sz val="9"/>
            <color indexed="81"/>
            <rFont val="Tahoma"/>
            <family val="2"/>
          </rPr>
          <t>Kalv - han - felt 16.11.19 22 kg (ES)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1" shapeId="0" xr:uid="{23AA617B-04C5-4B78-A5B3-31C3941F1A74}">
      <text>
        <r>
          <rPr>
            <sz val="10"/>
            <color indexed="8"/>
            <rFont val="Segoe UI"/>
          </rPr>
          <t>Spissbukk felt 02.10.19 33 kg (ES)</t>
        </r>
      </text>
    </comment>
    <comment ref="H5" authorId="0" shapeId="0" xr:uid="{5D9D0224-8A99-4BB0-AA69-5050FF014276}">
      <text>
        <r>
          <rPr>
            <b/>
            <sz val="9"/>
            <color indexed="81"/>
            <rFont val="Tahoma"/>
            <family val="2"/>
          </rPr>
          <t>Kolle felt 16.11.19 48 kg (ES)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" authorId="0" shapeId="0" xr:uid="{08E7E8AE-B197-47E8-ABA9-62B16F698976}">
      <text>
        <r>
          <rPr>
            <b/>
            <sz val="9"/>
            <color indexed="81"/>
            <rFont val="Tahoma"/>
            <family val="2"/>
          </rPr>
          <t>Bukk felt 24.09.19 9 tagger 98 kg (ES)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1" shapeId="0" xr:uid="{394121C4-9B53-4E61-90B5-1D457699D865}">
      <text>
        <r>
          <rPr>
            <sz val="10"/>
            <rFont val="Arial"/>
            <family val="2"/>
          </rPr>
          <t>Kalv, ho felt 29.09.19 16 kg (EB)</t>
        </r>
      </text>
    </comment>
    <comment ref="G6" authorId="0" shapeId="0" xr:uid="{4BC55F0F-608A-4AB0-BC0A-1B9BE7866208}">
      <text>
        <r>
          <rPr>
            <b/>
            <sz val="9"/>
            <color indexed="81"/>
            <rFont val="Tahoma"/>
            <charset val="1"/>
          </rPr>
          <t>Spissbukk felt 01.09.19 43,6 kg (EB) spissbukk felt 17.10.19 44 kg (EB)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6" authorId="0" shapeId="0" xr:uid="{52A04606-C62C-4D7F-80C1-89CE8EA4EE90}">
      <text>
        <r>
          <rPr>
            <b/>
            <sz val="9"/>
            <color indexed="81"/>
            <rFont val="Tahoma"/>
            <family val="2"/>
          </rPr>
          <t xml:space="preserve">Bukk felt 13 tagger 03.09.19 112,3 kg (EB)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" authorId="0" shapeId="0" xr:uid="{E7620395-B770-43B4-B30F-54190553B4EE}">
      <text>
        <r>
          <rPr>
            <b/>
            <sz val="9"/>
            <color indexed="81"/>
            <rFont val="Tahoma"/>
            <charset val="1"/>
          </rPr>
          <t>Spissbukk felt 15.09.19 47 kg (BF)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8" authorId="0" shapeId="0" xr:uid="{C3C6F2BA-0221-4781-8179-EA701DE3E2FD}">
      <text>
        <r>
          <rPr>
            <b/>
            <sz val="9"/>
            <color indexed="81"/>
            <rFont val="Tahoma"/>
            <family val="2"/>
          </rPr>
          <t>Tilleggsløyve ungdyr, ho 15.09.19</t>
        </r>
      </text>
    </comment>
    <comment ref="I8" authorId="0" shapeId="0" xr:uid="{AA69DD2A-3AAF-42F4-B063-28A4955FEE2D}">
      <text>
        <r>
          <rPr>
            <b/>
            <sz val="9"/>
            <color indexed="81"/>
            <rFont val="Tahoma"/>
            <family val="2"/>
          </rPr>
          <t>Bukk 6 tagger felt 04.09.19 61 kg (AOS)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" authorId="0" shapeId="0" xr:uid="{1AAC415A-C9A6-4E98-AAA9-C1454BEE123B}">
      <text>
        <r>
          <rPr>
            <b/>
            <sz val="9"/>
            <color indexed="81"/>
            <rFont val="Tahoma"/>
            <family val="2"/>
          </rPr>
          <t>Tilleggsløyve kolle + kalv 15.09.19</t>
        </r>
      </text>
    </comment>
    <comment ref="E11" authorId="0" shapeId="0" xr:uid="{3EDA3316-F8FE-44D0-ADC5-2E79918AC5A6}">
      <text>
        <r>
          <rPr>
            <b/>
            <sz val="9"/>
            <color indexed="81"/>
            <rFont val="Tahoma"/>
            <charset val="1"/>
          </rPr>
          <t xml:space="preserve">Kalv, ho Felt 03.09.19
11 kg (KB)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1" authorId="0" shapeId="0" xr:uid="{1A0EF90A-0B5A-4EDA-B7C8-AE9C8561887A}">
      <text>
        <r>
          <rPr>
            <b/>
            <sz val="9"/>
            <color indexed="81"/>
            <rFont val="Tahoma"/>
            <charset val="1"/>
          </rPr>
          <t>Kolle felt 02.09.19 38 kg (KB) Kolle hadde knekt framfot.</t>
        </r>
      </text>
    </comment>
    <comment ref="D12" authorId="0" shapeId="0" xr:uid="{DB4406DB-8AB9-4042-BEA6-C37F1F21E036}">
      <text>
        <r>
          <rPr>
            <b/>
            <sz val="9"/>
            <color indexed="81"/>
            <rFont val="Tahoma"/>
            <family val="2"/>
          </rPr>
          <t>tilleggsløyve bukk (6-8 tagger) 05.11.2019</t>
        </r>
        <r>
          <rPr>
            <sz val="9"/>
            <color indexed="81"/>
            <rFont val="Tahoma"/>
            <family val="2"/>
          </rPr>
          <t xml:space="preserve">
+ tilleggsløyve kolle + kalv 25.11.19 (eller ungdyr)</t>
        </r>
      </text>
    </comment>
    <comment ref="E12" authorId="0" shapeId="0" xr:uid="{BA9D0BB6-3780-4B7F-ABCC-B3915DB21109}">
      <text>
        <r>
          <rPr>
            <b/>
            <sz val="9"/>
            <color indexed="81"/>
            <rFont val="Tahoma"/>
            <charset val="1"/>
          </rPr>
          <t>Kalv, han felt 23.09.2019 20, 5 kg (KK)</t>
        </r>
      </text>
    </comment>
    <comment ref="F12" authorId="0" shapeId="0" xr:uid="{6A4ED616-B4AB-40B4-869E-F74C97CCE2AC}">
      <text>
        <r>
          <rPr>
            <b/>
            <sz val="9"/>
            <color indexed="81"/>
            <rFont val="Tahoma"/>
            <charset val="1"/>
          </rPr>
          <t>Ung kolle felt 06.09.2019 44 kg (KK)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2" authorId="0" shapeId="0" xr:uid="{F67A1BBB-7A39-467C-B319-E87C369B75FB}">
      <text>
        <r>
          <rPr>
            <b/>
            <sz val="9"/>
            <color indexed="81"/>
            <rFont val="Tahoma"/>
            <charset val="1"/>
          </rPr>
          <t>Kolle felt, 28.10.19 60 kg (KK)</t>
        </r>
      </text>
    </comment>
    <comment ref="I12" authorId="0" shapeId="0" xr:uid="{C92C6B79-AB3F-4825-B6F6-A6B17AA785D7}">
      <text>
        <r>
          <rPr>
            <b/>
            <sz val="9"/>
            <color indexed="81"/>
            <rFont val="Tahoma"/>
            <charset val="1"/>
          </rPr>
          <t>Bukk felt 19.11.19 8 tagger 78 kg (KK)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3" authorId="0" shapeId="0" xr:uid="{947735DA-DBCC-4597-AA07-A1147C9E559F}">
      <text>
        <r>
          <rPr>
            <b/>
            <sz val="9"/>
            <color indexed="81"/>
            <rFont val="Tahoma"/>
            <family val="2"/>
          </rPr>
          <t>Tilleggsløyve kolle + kalv 15.09.19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" authorId="0" shapeId="0" xr:uid="{2AE8FAD9-C634-4ABD-9B5A-2F961A225160}">
      <text>
        <r>
          <rPr>
            <b/>
            <sz val="9"/>
            <color indexed="81"/>
            <rFont val="Tahoma"/>
            <charset val="1"/>
          </rPr>
          <t>Kalv, hun felt 23.09.2019 18 kg (JIV)</t>
        </r>
      </text>
    </comment>
    <comment ref="F13" authorId="0" shapeId="0" xr:uid="{09C42273-B9BF-441B-8DB8-F973899E9755}">
      <text>
        <r>
          <rPr>
            <b/>
            <sz val="9"/>
            <color indexed="81"/>
            <rFont val="Tahoma"/>
            <family val="2"/>
          </rPr>
          <t>Ung kolle felt 13.09.19  47 kg (JIV)</t>
        </r>
      </text>
    </comment>
    <comment ref="G13" authorId="0" shapeId="0" xr:uid="{30FBB82D-2F11-4CD0-89F1-9435A69205E1}">
      <text>
        <r>
          <rPr>
            <b/>
            <sz val="9"/>
            <color indexed="81"/>
            <rFont val="Tahoma"/>
            <charset val="1"/>
          </rPr>
          <t>Spissbukk felt 04.09.2019 54 kg (JIV)</t>
        </r>
      </text>
    </comment>
    <comment ref="H13" authorId="0" shapeId="0" xr:uid="{538D7E57-F6F6-457E-8A80-D9016D681D48}">
      <text>
        <r>
          <rPr>
            <b/>
            <sz val="9"/>
            <color indexed="81"/>
            <rFont val="Tahoma"/>
            <charset val="1"/>
          </rPr>
          <t>Kolle felt 24.09.19 57 kg) (JIV)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4" authorId="0" shapeId="0" xr:uid="{E5B87819-64B8-4841-9730-FE3848B8513C}">
      <text>
        <r>
          <rPr>
            <b/>
            <sz val="9"/>
            <color indexed="81"/>
            <rFont val="Tahoma"/>
            <family val="2"/>
          </rPr>
          <t>Tilleggsløyve ungdyr, ho + spissbukk 05.10.19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" authorId="0" shapeId="0" xr:uid="{47D46358-4D9D-40EE-A088-5F2C278AEBD6}">
      <text>
        <r>
          <rPr>
            <b/>
            <sz val="9"/>
            <color indexed="81"/>
            <rFont val="Tahoma"/>
            <family val="2"/>
          </rPr>
          <t>Kalv, han felt 04.10.19 30 kg (EV)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" authorId="0" shapeId="0" xr:uid="{062046BB-CF7D-4513-987B-62CCBE0B3D40}">
      <text>
        <r>
          <rPr>
            <b/>
            <sz val="9"/>
            <color indexed="81"/>
            <rFont val="Tahoma"/>
            <charset val="1"/>
          </rPr>
          <t>Ungdyr, kolle felt 07.11.19 45 kg (EV)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0" shapeId="0" xr:uid="{457B80FD-D095-4D62-8EFC-26490CEA9694}">
      <text>
        <r>
          <rPr>
            <b/>
            <sz val="9"/>
            <color indexed="81"/>
            <rFont val="Tahoma"/>
            <family val="2"/>
          </rPr>
          <t>Kolle felt 23.09.19 63 kg (EV)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4" authorId="0" shapeId="0" xr:uid="{432998D2-2FBD-4FC2-ABBD-2EF3E864289F}">
      <text>
        <r>
          <rPr>
            <b/>
            <sz val="9"/>
            <color indexed="81"/>
            <rFont val="Tahoma"/>
            <charset val="1"/>
          </rPr>
          <t>bukk 9 tagger felt 01.09.19 78 kg (EV)</t>
        </r>
      </text>
    </comment>
    <comment ref="D15" authorId="0" shapeId="0" xr:uid="{64E36804-A6A7-44B6-A0A1-D705710A875B}">
      <text>
        <r>
          <rPr>
            <b/>
            <sz val="9"/>
            <color indexed="81"/>
            <rFont val="Tahoma"/>
            <family val="2"/>
          </rPr>
          <t>Tilleggsløyve bukk 6-8 tagger 25.09.19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 shapeId="0" xr:uid="{8952D7E1-DF52-4C81-8A16-F1F69673641F}">
      <text>
        <r>
          <rPr>
            <b/>
            <sz val="9"/>
            <color indexed="81"/>
            <rFont val="Tahoma"/>
            <family val="2"/>
          </rPr>
          <t>Kalv , ho felt 16.09.19 20 kg (AIS)</t>
        </r>
      </text>
    </comment>
    <comment ref="H15" authorId="0" shapeId="0" xr:uid="{14FE15BD-BFF1-4959-8950-BB6F9BD787C4}">
      <text>
        <r>
          <rPr>
            <b/>
            <sz val="9"/>
            <color indexed="81"/>
            <rFont val="Tahoma"/>
            <family val="2"/>
          </rPr>
          <t>Kolle felt 16.09.19 68 kg (AIS)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6" authorId="0" shapeId="0" xr:uid="{6E37C93F-36C6-4129-B784-37BEF89A99EE}">
      <text>
        <r>
          <rPr>
            <b/>
            <sz val="9"/>
            <color indexed="81"/>
            <rFont val="Tahoma"/>
            <charset val="1"/>
          </rPr>
          <t>Spissbukk felt 12.09.2019 52 kg (SMK)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0" shapeId="0" xr:uid="{0C6E1474-7E16-425A-82B5-97825B69978B}">
      <text>
        <r>
          <rPr>
            <b/>
            <sz val="9"/>
            <color indexed="81"/>
            <rFont val="Tahoma"/>
            <family val="2"/>
          </rPr>
          <t>Tilleggsløyve bukk (6-8 tagger) 15.10.19</t>
        </r>
      </text>
    </comment>
    <comment ref="E17" authorId="0" shapeId="0" xr:uid="{563E294A-5D34-42D7-AB04-0DD2D9BD0AEC}">
      <text>
        <r>
          <rPr>
            <b/>
            <sz val="9"/>
            <color indexed="81"/>
            <rFont val="Tahoma"/>
            <charset val="1"/>
          </rPr>
          <t>Kalv, han felt 06.09.19 22 kg (HF) + Kalv, ho felt 19.12.19 24 kg (HF)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7" authorId="0" shapeId="0" xr:uid="{28B5377F-A607-4695-8B1B-505B5D1F53F1}">
      <text>
        <r>
          <rPr>
            <b/>
            <sz val="9"/>
            <color indexed="81"/>
            <rFont val="Tahoma"/>
            <charset val="1"/>
          </rPr>
          <t>Undyr, kolle felt 01.09.19 41 kg (HF)</t>
        </r>
      </text>
    </comment>
    <comment ref="G17" authorId="0" shapeId="0" xr:uid="{EE9C0B57-FB84-4A80-9FB3-311CFD526C51}">
      <text>
        <r>
          <rPr>
            <b/>
            <sz val="9"/>
            <color indexed="81"/>
            <rFont val="Tahoma"/>
            <charset val="1"/>
          </rPr>
          <t>Spissbukk felt 01.09.19 48 kg (HF)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7" authorId="0" shapeId="0" xr:uid="{5BFD3EA4-FEA6-4606-BDBF-D92D13A7EFBE}">
      <text>
        <r>
          <rPr>
            <b/>
            <sz val="9"/>
            <color indexed="81"/>
            <rFont val="Tahoma"/>
            <family val="2"/>
          </rPr>
          <t>Kolle felt 13.10.19 58 kg (HF)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9" authorId="0" shapeId="0" xr:uid="{80B83884-90D0-4E0E-A6E3-C4E7D470245A}">
      <text>
        <r>
          <rPr>
            <b/>
            <sz val="9"/>
            <color indexed="81"/>
            <rFont val="Tahoma"/>
            <charset val="1"/>
          </rPr>
          <t>Ung kolle felt 10.09.2019 52 kg (KS)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1" authorId="0" shapeId="0" xr:uid="{258E1DC4-7B44-40D6-8BA2-89BD2FCCDD2A}">
      <text>
        <r>
          <rPr>
            <b/>
            <sz val="9"/>
            <color indexed="81"/>
            <rFont val="Tahoma"/>
            <family val="2"/>
          </rPr>
          <t>Tilleggsløyve ungdyr, ho 15.09.19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" authorId="0" shapeId="0" xr:uid="{869BD689-24CB-46DC-9271-EFB9A7CBCC92}">
      <text>
        <r>
          <rPr>
            <b/>
            <sz val="9"/>
            <color indexed="81"/>
            <rFont val="Tahoma"/>
            <charset val="1"/>
          </rPr>
          <t>Spissbukk felt 07.09.19 48 kg (KT)</t>
        </r>
      </text>
    </comment>
    <comment ref="I21" authorId="0" shapeId="0" xr:uid="{4E57EBC8-1DEA-459A-BBE0-BB718BD5CA0E}">
      <text>
        <r>
          <rPr>
            <b/>
            <sz val="9"/>
            <color indexed="81"/>
            <rFont val="Tahoma"/>
            <charset val="1"/>
          </rPr>
          <t>Bukk felt 10 tagger 13.09.19 ca. 85 kg (KT)</t>
        </r>
      </text>
    </comment>
    <comment ref="H22" authorId="0" shapeId="0" xr:uid="{1ACEF440-FE4E-4AB8-90FC-D31F8565B31F}">
      <text>
        <r>
          <rPr>
            <b/>
            <sz val="9"/>
            <color indexed="81"/>
            <rFont val="Tahoma"/>
            <charset val="1"/>
          </rPr>
          <t>Kolle felt 19.12.19 52 kg (HF)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5" authorId="0" shapeId="0" xr:uid="{63427F45-EB52-4A30-9CD0-78D48F4A6E4D}">
      <text>
        <r>
          <rPr>
            <b/>
            <sz val="9"/>
            <color indexed="81"/>
            <rFont val="Tahoma"/>
            <family val="2"/>
          </rPr>
          <t>Premie 2018 - spissbukk + tillegggsløyve kolle + kalv 25.11.19 (eller ungdyr)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5" authorId="0" shapeId="0" xr:uid="{DBA5263D-7348-4B2A-BB05-EC0BC67687A3}">
      <text>
        <r>
          <rPr>
            <b/>
            <sz val="9"/>
            <color indexed="81"/>
            <rFont val="Tahoma"/>
            <family val="2"/>
          </rPr>
          <t>Spissbukk felt 17.09.2019 67 kg (JT)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5" authorId="0" shapeId="0" xr:uid="{EFC6331A-7EC2-494B-B6D3-5886412F58CF}">
      <text>
        <r>
          <rPr>
            <b/>
            <sz val="9"/>
            <color indexed="81"/>
            <rFont val="Tahoma"/>
            <charset val="1"/>
          </rPr>
          <t>Kolle felt 17.11.19 44 kg (JT)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5" authorId="0" shapeId="0" xr:uid="{407A2D1C-173B-4BD8-8FF9-CFDBE58B8F82}">
      <text>
        <r>
          <rPr>
            <b/>
            <sz val="9"/>
            <color indexed="81"/>
            <rFont val="Tahoma"/>
            <family val="2"/>
          </rPr>
          <t>Bukk felt 04.10.19 
8 tagger 82 kg (JT)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6" authorId="0" shapeId="0" xr:uid="{4D6F3DCB-F637-42A4-B2C6-3D99D24EFA8D}">
      <text>
        <r>
          <rPr>
            <b/>
            <sz val="9"/>
            <color indexed="81"/>
            <rFont val="Tahoma"/>
            <family val="2"/>
          </rPr>
          <t>Tillegggsløyve kolle + kalv 05.10.19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6" authorId="0" shapeId="0" xr:uid="{D5F525C8-992F-448D-B759-B8C8134F9E80}">
      <text>
        <r>
          <rPr>
            <b/>
            <sz val="9"/>
            <color indexed="81"/>
            <rFont val="Tahoma"/>
            <charset val="1"/>
          </rPr>
          <t>Kalv, ho felt 17.12.2019 33 kg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6" authorId="0" shapeId="0" xr:uid="{D426A203-2FA0-485C-AE17-30B5C21EBA1C}">
      <text>
        <r>
          <rPr>
            <b/>
            <sz val="9"/>
            <color indexed="81"/>
            <rFont val="Tahoma"/>
            <family val="2"/>
          </rPr>
          <t>Ungkolle felt 04.09.19 42 kg (TEK)</t>
        </r>
      </text>
    </comment>
    <comment ref="H26" authorId="0" shapeId="0" xr:uid="{7FCE1A50-6228-4C7F-81EC-11EEE1FA2074}">
      <text>
        <r>
          <rPr>
            <b/>
            <sz val="9"/>
            <color indexed="81"/>
            <rFont val="Tahoma"/>
            <charset val="1"/>
          </rPr>
          <t>Kolle felt 23.10.19 58 kg (TEK)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6" authorId="0" shapeId="0" xr:uid="{2068C09B-0E8F-4863-AD15-A110AF0E0F70}">
      <text>
        <r>
          <rPr>
            <b/>
            <sz val="9"/>
            <color indexed="81"/>
            <rFont val="Tahoma"/>
            <family val="2"/>
          </rPr>
          <t>Bukk felt 6 tagger 26.09.19 52 kg (TL)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7" authorId="1" shapeId="0" xr:uid="{291D0EAF-4FC3-4E91-9F28-362D983C4825}">
      <text>
        <r>
          <rPr>
            <sz val="10"/>
            <rFont val="Arial"/>
            <family val="2"/>
          </rPr>
          <t>Bukk felt 30.09.19 8 tagger 81 kg (OAV)</t>
        </r>
      </text>
    </comment>
  </commentList>
</comments>
</file>

<file path=xl/sharedStrings.xml><?xml version="1.0" encoding="utf-8"?>
<sst xmlns="http://schemas.openxmlformats.org/spreadsheetml/2006/main" count="138" uniqueCount="96">
  <si>
    <t>Jaktfelt</t>
  </si>
  <si>
    <t>Tildelte løyver 2007</t>
  </si>
  <si>
    <t>Kvote</t>
  </si>
  <si>
    <t xml:space="preserve">Kalv </t>
  </si>
  <si>
    <t>1 ½ år,</t>
  </si>
  <si>
    <t xml:space="preserve">1 ½ år gamle </t>
  </si>
  <si>
    <t>Eldre hodyr</t>
  </si>
  <si>
    <t>Eldre hanndyr</t>
  </si>
  <si>
    <t>Da pr jaktfelt</t>
  </si>
  <si>
    <t>hodyr</t>
  </si>
  <si>
    <t>hanndyr</t>
  </si>
  <si>
    <t>(frå 2 ½ år)</t>
  </si>
  <si>
    <t>Sum</t>
  </si>
  <si>
    <t>% av kvoten felt</t>
  </si>
  <si>
    <t>Felte dyr</t>
  </si>
  <si>
    <t>Indre Sund</t>
  </si>
  <si>
    <t>Tyssøy, vest på Lundanest</t>
  </si>
  <si>
    <t>Dommedal</t>
  </si>
  <si>
    <t>Kleppe/Kleppevik</t>
  </si>
  <si>
    <t>Forland</t>
  </si>
  <si>
    <t>Steinsland</t>
  </si>
  <si>
    <t>Hamre</t>
  </si>
  <si>
    <t>Bakka</t>
  </si>
  <si>
    <t>Berge</t>
  </si>
  <si>
    <t>Vorland</t>
  </si>
  <si>
    <t>Tveit</t>
  </si>
  <si>
    <t>Skoge/Hammersland</t>
  </si>
  <si>
    <t>Eide og Spilde</t>
  </si>
  <si>
    <t>Kausland</t>
  </si>
  <si>
    <t>Glesnes</t>
  </si>
  <si>
    <t>Selstø/Telavåg</t>
  </si>
  <si>
    <t>Nipen</t>
  </si>
  <si>
    <t>Søndre Tolf</t>
  </si>
  <si>
    <t>Spilde Vest</t>
  </si>
  <si>
    <t xml:space="preserve">Golten </t>
  </si>
  <si>
    <t>Trellevik</t>
  </si>
  <si>
    <t>Nordre Toft</t>
  </si>
  <si>
    <t>Høiland</t>
  </si>
  <si>
    <t>Bjelkarøy/Lerøy</t>
  </si>
  <si>
    <t>Hummelsund/Sæle</t>
  </si>
  <si>
    <t>Tilleggsløyver</t>
  </si>
  <si>
    <t>Totalt:</t>
  </si>
  <si>
    <t>Tal dyr i året</t>
  </si>
  <si>
    <t>Fordeling med 1.fordelingstallet:</t>
  </si>
  <si>
    <t>Kjønn tot</t>
  </si>
  <si>
    <t>Kjønn</t>
  </si>
  <si>
    <t>Eldre/yngre</t>
  </si>
  <si>
    <t>Kjønnsfordeling</t>
  </si>
  <si>
    <t>Hodyr</t>
  </si>
  <si>
    <t>Kategori</t>
  </si>
  <si>
    <t>Prosent</t>
  </si>
  <si>
    <t>Tal dyr/året</t>
  </si>
  <si>
    <t>Tal dyr i perioden</t>
  </si>
  <si>
    <t>Hanndyr</t>
  </si>
  <si>
    <t xml:space="preserve"> Kalv                                                                 22  </t>
  </si>
  <si>
    <t>1 ½ år gamle hodyr</t>
  </si>
  <si>
    <t>Justering kalv:</t>
  </si>
  <si>
    <t>1 ½ år gamle hanndyr</t>
  </si>
  <si>
    <t xml:space="preserve">Eldre hodyr (2 ½ år og eldre)                         22          </t>
  </si>
  <si>
    <t>kalv</t>
  </si>
  <si>
    <t>ho</t>
  </si>
  <si>
    <t>han</t>
  </si>
  <si>
    <r>
      <t>Eldre hanndyr (2 ½ år og eldre)</t>
    </r>
    <r>
      <rPr>
        <b/>
        <sz val="10"/>
        <rFont val="Arial"/>
        <family val="1"/>
      </rPr>
      <t xml:space="preserve"> </t>
    </r>
  </si>
  <si>
    <t>Fellingstatistikk med fordeling:</t>
  </si>
  <si>
    <t>%-vis fordeling</t>
  </si>
  <si>
    <t>Samlet ungdyr:</t>
  </si>
  <si>
    <t>Sammenlignet:</t>
  </si>
  <si>
    <t>Gjenstående løyver av tildelt kvote</t>
  </si>
  <si>
    <t>Oppdatert:</t>
  </si>
  <si>
    <t>Gjenstående løyver</t>
  </si>
  <si>
    <t>Eide/Spilde</t>
  </si>
  <si>
    <t>Totalt gjenstående løyver:</t>
  </si>
  <si>
    <t>Felte dyr til nå i 2019:</t>
  </si>
  <si>
    <t>Totalsum felte dyr + tildelte:</t>
  </si>
  <si>
    <t>Fordelingstall for dyr i året</t>
  </si>
  <si>
    <t>Differanse ift årets tildeling::</t>
  </si>
  <si>
    <t>Fordeling av felte dyr i planperioden;</t>
  </si>
  <si>
    <t>Idelafordeling:</t>
  </si>
  <si>
    <t>Differanse i %:</t>
  </si>
  <si>
    <t>Samlet oversikt</t>
  </si>
  <si>
    <t>Kalv</t>
  </si>
  <si>
    <t>ungdyr, ho</t>
  </si>
  <si>
    <t>spissbukk</t>
  </si>
  <si>
    <t>kolle</t>
  </si>
  <si>
    <t>bukk</t>
  </si>
  <si>
    <t>totalt</t>
  </si>
  <si>
    <t>Felte dyr i 2016</t>
  </si>
  <si>
    <t>Felte dyr i 2017</t>
  </si>
  <si>
    <t>Felte dyr i 2018</t>
  </si>
  <si>
    <t>Felte dyr i 2019</t>
  </si>
  <si>
    <t>Felte dyr i 2020</t>
  </si>
  <si>
    <t>Totalt felte dyr i perioden:</t>
  </si>
  <si>
    <t>Fordeling i %:</t>
  </si>
  <si>
    <t>Fordelingsnøkkel:</t>
  </si>
  <si>
    <t>Fordelingen basert på fordelingsnøkkel:</t>
  </si>
  <si>
    <t>Defferanse: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</si>
</sst>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%"/>
    <numFmt numFmtId="165" formatCode="0.0"/>
    <numFmt numFmtId="166" formatCode="0.0\ %"/>
    <numFmt numFmtId="167" formatCode="0;[Red]0"/>
  </numFmts>
  <fonts count="32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10"/>
      <color rgb="FFFF0000"/>
      <name val="Times New Roman"/>
      <family val="1"/>
    </font>
    <font>
      <b/>
      <sz val="10"/>
      <color indexed="10"/>
      <name val="Times New Roman"/>
      <family val="1"/>
    </font>
    <font>
      <b/>
      <sz val="10"/>
      <color rgb="FFFF0000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sz val="9"/>
      <color theme="1"/>
      <name val="Arial"/>
      <family val="2"/>
    </font>
    <font>
      <b/>
      <sz val="8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8"/>
      <name val="Arial"/>
      <family val="2"/>
    </font>
    <font>
      <b/>
      <sz val="10"/>
      <name val="Arial"/>
      <family val="1"/>
    </font>
    <font>
      <sz val="12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2"/>
      <color theme="4" tint="-0.499984740745262"/>
      <name val="Arial"/>
      <family val="2"/>
    </font>
    <font>
      <b/>
      <sz val="10"/>
      <color theme="8" tint="-0.499984740745262"/>
      <name val="Arial"/>
      <family val="2"/>
    </font>
    <font>
      <sz val="10"/>
      <color rgb="FFC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color indexed="8"/>
      <name val="Segoe UI"/>
    </font>
  </fonts>
  <fills count="12">
    <fill>
      <patternFill patternType="none"/>
    </fill>
    <fill>
      <patternFill patternType="gray125"/>
    </fill>
    <fill>
      <patternFill patternType="solid">
        <fgColor indexed="54"/>
        <bgColor indexed="55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5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41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27"/>
        <bgColor indexed="42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0" xfId="0" applyFont="1"/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1" fontId="4" fillId="0" borderId="1" xfId="0" applyNumberFormat="1" applyFont="1" applyBorder="1"/>
    <xf numFmtId="0" fontId="4" fillId="0" borderId="5" xfId="0" applyFont="1" applyBorder="1"/>
    <xf numFmtId="0" fontId="5" fillId="3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4" borderId="0" xfId="0" applyFont="1" applyFill="1"/>
    <xf numFmtId="0" fontId="6" fillId="0" borderId="0" xfId="0" applyFont="1" applyAlignment="1">
      <alignment horizontal="center" vertical="top" wrapText="1"/>
    </xf>
    <xf numFmtId="164" fontId="1" fillId="5" borderId="0" xfId="0" applyNumberFormat="1" applyFont="1" applyFill="1"/>
    <xf numFmtId="1" fontId="1" fillId="0" borderId="0" xfId="0" applyNumberFormat="1" applyFont="1"/>
    <xf numFmtId="0" fontId="3" fillId="3" borderId="5" xfId="0" applyFont="1" applyFill="1" applyBorder="1" applyAlignment="1">
      <alignment horizontal="center" vertical="top" wrapText="1"/>
    </xf>
    <xf numFmtId="164" fontId="1" fillId="6" borderId="0" xfId="0" applyNumberFormat="1" applyFont="1" applyFill="1"/>
    <xf numFmtId="0" fontId="7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1" fontId="4" fillId="0" borderId="5" xfId="0" applyNumberFormat="1" applyFont="1" applyBorder="1"/>
    <xf numFmtId="0" fontId="9" fillId="0" borderId="5" xfId="0" applyFont="1" applyBorder="1" applyAlignment="1">
      <alignment horizontal="center" vertical="top" wrapText="1"/>
    </xf>
    <xf numFmtId="165" fontId="1" fillId="0" borderId="0" xfId="0" applyNumberFormat="1" applyFont="1"/>
    <xf numFmtId="164" fontId="1" fillId="7" borderId="0" xfId="0" applyNumberFormat="1" applyFont="1" applyFill="1"/>
    <xf numFmtId="0" fontId="9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4" fillId="0" borderId="8" xfId="0" applyFont="1" applyBorder="1"/>
    <xf numFmtId="0" fontId="5" fillId="3" borderId="8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5" fillId="3" borderId="1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10" fillId="3" borderId="0" xfId="0" applyFont="1" applyFill="1" applyAlignment="1">
      <alignment horizontal="center"/>
    </xf>
    <xf numFmtId="164" fontId="1" fillId="0" borderId="0" xfId="0" applyNumberFormat="1" applyFont="1"/>
    <xf numFmtId="0" fontId="3" fillId="0" borderId="0" xfId="0" applyFont="1" applyAlignment="1">
      <alignment vertical="top" wrapText="1"/>
    </xf>
    <xf numFmtId="0" fontId="1" fillId="3" borderId="3" xfId="0" applyFont="1" applyFill="1" applyBorder="1"/>
    <xf numFmtId="0" fontId="1" fillId="0" borderId="2" xfId="0" applyFont="1" applyBorder="1"/>
    <xf numFmtId="0" fontId="11" fillId="8" borderId="0" xfId="0" applyFont="1" applyFill="1" applyAlignment="1">
      <alignment vertical="top" wrapText="1"/>
    </xf>
    <xf numFmtId="0" fontId="1" fillId="8" borderId="0" xfId="0" applyFont="1" applyFill="1"/>
    <xf numFmtId="1" fontId="1" fillId="8" borderId="0" xfId="0" applyNumberFormat="1" applyFont="1" applyFill="1"/>
    <xf numFmtId="10" fontId="1" fillId="0" borderId="0" xfId="0" applyNumberFormat="1" applyFont="1"/>
    <xf numFmtId="0" fontId="12" fillId="9" borderId="9" xfId="0" applyFont="1" applyFill="1" applyBorder="1"/>
    <xf numFmtId="0" fontId="12" fillId="9" borderId="10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8" fillId="9" borderId="0" xfId="0" applyFont="1" applyFill="1"/>
    <xf numFmtId="0" fontId="13" fillId="9" borderId="12" xfId="0" applyFont="1" applyFill="1" applyBorder="1"/>
    <xf numFmtId="0" fontId="13" fillId="9" borderId="0" xfId="0" applyFont="1" applyFill="1"/>
    <xf numFmtId="166" fontId="1" fillId="0" borderId="0" xfId="0" applyNumberFormat="1" applyFont="1"/>
    <xf numFmtId="0" fontId="13" fillId="9" borderId="13" xfId="0" applyFont="1" applyFill="1" applyBorder="1"/>
    <xf numFmtId="0" fontId="1" fillId="0" borderId="13" xfId="0" applyFont="1" applyBorder="1"/>
    <xf numFmtId="0" fontId="14" fillId="0" borderId="0" xfId="0" applyFont="1"/>
    <xf numFmtId="0" fontId="13" fillId="9" borderId="14" xfId="0" applyFont="1" applyFill="1" applyBorder="1"/>
    <xf numFmtId="0" fontId="13" fillId="9" borderId="15" xfId="0" applyFont="1" applyFill="1" applyBorder="1"/>
    <xf numFmtId="166" fontId="1" fillId="0" borderId="15" xfId="0" applyNumberFormat="1" applyFont="1" applyBorder="1"/>
    <xf numFmtId="0" fontId="16" fillId="9" borderId="15" xfId="0" applyFont="1" applyFill="1" applyBorder="1"/>
    <xf numFmtId="1" fontId="1" fillId="0" borderId="15" xfId="0" applyNumberFormat="1" applyFont="1" applyBorder="1"/>
    <xf numFmtId="0" fontId="16" fillId="9" borderId="16" xfId="0" applyFont="1" applyFill="1" applyBorder="1"/>
    <xf numFmtId="0" fontId="17" fillId="9" borderId="0" xfId="0" applyFont="1" applyFill="1"/>
    <xf numFmtId="0" fontId="1" fillId="0" borderId="1" xfId="0" applyFont="1" applyBorder="1"/>
    <xf numFmtId="0" fontId="18" fillId="0" borderId="1" xfId="0" applyFont="1" applyBorder="1"/>
    <xf numFmtId="166" fontId="1" fillId="0" borderId="1" xfId="0" applyNumberFormat="1" applyFont="1" applyBorder="1"/>
    <xf numFmtId="166" fontId="1" fillId="0" borderId="2" xfId="0" applyNumberFormat="1" applyFont="1" applyBorder="1"/>
    <xf numFmtId="166" fontId="19" fillId="0" borderId="17" xfId="0" applyNumberFormat="1" applyFont="1" applyBorder="1"/>
    <xf numFmtId="166" fontId="19" fillId="0" borderId="18" xfId="0" applyNumberFormat="1" applyFont="1" applyBorder="1"/>
    <xf numFmtId="166" fontId="19" fillId="0" borderId="8" xfId="0" applyNumberFormat="1" applyFont="1" applyBorder="1"/>
    <xf numFmtId="0" fontId="20" fillId="0" borderId="0" xfId="0" applyFont="1"/>
    <xf numFmtId="0" fontId="2" fillId="2" borderId="0" xfId="0" applyFont="1" applyFill="1" applyAlignment="1">
      <alignment horizontal="center" vertical="top" wrapText="1"/>
    </xf>
    <xf numFmtId="14" fontId="19" fillId="0" borderId="0" xfId="0" applyNumberFormat="1" applyFont="1"/>
    <xf numFmtId="38" fontId="21" fillId="0" borderId="5" xfId="0" applyNumberFormat="1" applyFont="1" applyBorder="1" applyAlignment="1">
      <alignment horizontal="center" vertical="top" wrapText="1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1" fillId="3" borderId="6" xfId="0" applyFont="1" applyFill="1" applyBorder="1"/>
    <xf numFmtId="38" fontId="1" fillId="0" borderId="2" xfId="0" applyNumberFormat="1" applyFont="1" applyBorder="1"/>
    <xf numFmtId="0" fontId="22" fillId="0" borderId="1" xfId="0" applyFont="1" applyBorder="1" applyAlignment="1">
      <alignment horizontal="center"/>
    </xf>
    <xf numFmtId="1" fontId="1" fillId="10" borderId="0" xfId="0" applyNumberFormat="1" applyFont="1" applyFill="1"/>
    <xf numFmtId="0" fontId="3" fillId="11" borderId="0" xfId="0" applyFont="1" applyFill="1"/>
    <xf numFmtId="0" fontId="1" fillId="11" borderId="0" xfId="0" applyFont="1" applyFill="1"/>
    <xf numFmtId="166" fontId="1" fillId="11" borderId="0" xfId="0" applyNumberFormat="1" applyFont="1" applyFill="1"/>
    <xf numFmtId="0" fontId="5" fillId="0" borderId="0" xfId="0" applyFont="1"/>
    <xf numFmtId="0" fontId="23" fillId="0" borderId="0" xfId="0" applyFont="1"/>
    <xf numFmtId="10" fontId="23" fillId="0" borderId="0" xfId="0" applyNumberFormat="1" applyFont="1"/>
    <xf numFmtId="0" fontId="24" fillId="0" borderId="19" xfId="0" applyFont="1" applyBorder="1"/>
    <xf numFmtId="0" fontId="1" fillId="0" borderId="19" xfId="0" applyFont="1" applyBorder="1"/>
    <xf numFmtId="0" fontId="0" fillId="0" borderId="19" xfId="0" applyBorder="1"/>
    <xf numFmtId="0" fontId="20" fillId="0" borderId="19" xfId="0" applyFont="1" applyBorder="1"/>
    <xf numFmtId="0" fontId="25" fillId="0" borderId="19" xfId="0" applyFont="1" applyBorder="1"/>
    <xf numFmtId="10" fontId="25" fillId="0" borderId="19" xfId="0" applyNumberFormat="1" applyFont="1" applyBorder="1"/>
    <xf numFmtId="0" fontId="26" fillId="0" borderId="19" xfId="0" applyFont="1" applyBorder="1"/>
    <xf numFmtId="166" fontId="26" fillId="0" borderId="19" xfId="0" applyNumberFormat="1" applyFont="1" applyBorder="1"/>
    <xf numFmtId="1" fontId="1" fillId="0" borderId="19" xfId="0" applyNumberFormat="1" applyFont="1" applyBorder="1"/>
    <xf numFmtId="167" fontId="1" fillId="0" borderId="1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&#229;re%20orsvik/Documents/Sund%20hjortevald/2019/fordeling%20av%20dyr%202016-2020%20versjon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-15 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11_felte_dyr"/>
      <sheetName val="2012 felte_dyr"/>
      <sheetName val="2013 felte_dyr"/>
      <sheetName val="2014 felte_dyr"/>
      <sheetName val="2015 felte_dyr"/>
      <sheetName val="2016_felte_dyr"/>
      <sheetName val="2017_felte_dyr"/>
      <sheetName val="2018_felte_dyr"/>
      <sheetName val="2019_felte_dyr"/>
      <sheetName val="Felte_dyr samlet 2016-2020"/>
      <sheetName val="Felte_dyr samlet 2011-2015"/>
      <sheetName val="2008_felte dyr"/>
      <sheetName val="2009_felte_dyr"/>
      <sheetName val="2010_felte_dyr"/>
      <sheetName val="Felte_dyr samlet"/>
      <sheetName val="Daa pr dyr"/>
      <sheetName val="2008_felte_dyr tidsakse "/>
      <sheetName val="2011_felte_dyr tidsakse "/>
      <sheetName val="2012_felte_dyr tidsakse"/>
      <sheetName val="2013_felte_dyr tidsakse"/>
      <sheetName val="2014_felte_dyr tidsakse"/>
      <sheetName val="2015_felte_dyr tidsakse"/>
      <sheetName val="2016_felte_dyr tidsakse"/>
      <sheetName val="2017_felte_dyr tidsakse"/>
      <sheetName val="2018_felte_dyr tidsakse"/>
      <sheetName val="2019_felte_dyr tidsakse"/>
      <sheetName val="2009_felte_dyr tidsakse"/>
      <sheetName val="Fellingsutvikling pr uke 2011"/>
      <sheetName val="2010_felte_dyr tidsakse"/>
      <sheetName val="Fellingsavgifter 09"/>
      <sheetName val="Fellingsavgifter 10"/>
      <sheetName val="Fellingsavgifter 11"/>
      <sheetName val="Fellingsavgifter 12"/>
      <sheetName val="Fellingsavgifter 13"/>
      <sheetName val="Fellingsavgifter 14"/>
      <sheetName val="Fellingsavgifter 15"/>
      <sheetName val="Fellingsavgifter 16"/>
      <sheetName val="Fellingsavgifter 17"/>
      <sheetName val="Fellingsavgifter 18"/>
      <sheetName val="Fellingsavgifter 19"/>
      <sheetName val="Fellingsavgifter 20"/>
      <sheetName val="Fakturagrunnlag"/>
      <sheetName val="2011arb"/>
      <sheetName val="Jaktfeltnummer"/>
      <sheetName val="Jaktfeltnavneli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E3">
            <v>5</v>
          </cell>
          <cell r="F3">
            <v>2</v>
          </cell>
          <cell r="G3">
            <v>2</v>
          </cell>
          <cell r="H3">
            <v>4</v>
          </cell>
          <cell r="I3">
            <v>4</v>
          </cell>
          <cell r="J3">
            <v>17</v>
          </cell>
        </row>
        <row r="4">
          <cell r="F4">
            <v>1</v>
          </cell>
          <cell r="J4">
            <v>1</v>
          </cell>
        </row>
        <row r="5">
          <cell r="E5">
            <v>1</v>
          </cell>
          <cell r="F5">
            <v>1</v>
          </cell>
          <cell r="H5">
            <v>1</v>
          </cell>
          <cell r="I5">
            <v>1</v>
          </cell>
          <cell r="J5">
            <v>4</v>
          </cell>
        </row>
        <row r="6">
          <cell r="F6">
            <v>1</v>
          </cell>
          <cell r="G6">
            <v>2</v>
          </cell>
          <cell r="I6">
            <v>1</v>
          </cell>
          <cell r="J6">
            <v>4</v>
          </cell>
        </row>
        <row r="7">
          <cell r="E7">
            <v>1</v>
          </cell>
          <cell r="G7">
            <v>1</v>
          </cell>
          <cell r="H7">
            <v>1</v>
          </cell>
          <cell r="I7">
            <v>1</v>
          </cell>
          <cell r="J7">
            <v>4</v>
          </cell>
        </row>
        <row r="8">
          <cell r="F8">
            <v>1</v>
          </cell>
          <cell r="I8">
            <v>1</v>
          </cell>
          <cell r="J8">
            <v>2</v>
          </cell>
        </row>
        <row r="9">
          <cell r="F9">
            <v>1</v>
          </cell>
          <cell r="J9">
            <v>1</v>
          </cell>
        </row>
        <row r="10">
          <cell r="G10">
            <v>1</v>
          </cell>
          <cell r="J10">
            <v>1</v>
          </cell>
        </row>
        <row r="11">
          <cell r="E11">
            <v>2</v>
          </cell>
          <cell r="H11">
            <v>2</v>
          </cell>
          <cell r="J11">
            <v>4</v>
          </cell>
        </row>
        <row r="12">
          <cell r="E12">
            <v>2</v>
          </cell>
          <cell r="F12">
            <v>1</v>
          </cell>
          <cell r="H12">
            <v>2</v>
          </cell>
          <cell r="I12">
            <v>1</v>
          </cell>
          <cell r="J12">
            <v>6</v>
          </cell>
        </row>
        <row r="13">
          <cell r="E13">
            <v>1</v>
          </cell>
          <cell r="F13">
            <v>1</v>
          </cell>
          <cell r="G13">
            <v>1</v>
          </cell>
          <cell r="H13">
            <v>1</v>
          </cell>
          <cell r="J13">
            <v>4</v>
          </cell>
        </row>
        <row r="14"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5</v>
          </cell>
        </row>
        <row r="15">
          <cell r="E15">
            <v>1</v>
          </cell>
          <cell r="H15">
            <v>1</v>
          </cell>
          <cell r="I15">
            <v>1</v>
          </cell>
          <cell r="J15">
            <v>3</v>
          </cell>
        </row>
        <row r="16">
          <cell r="F16">
            <v>1</v>
          </cell>
          <cell r="G16">
            <v>1</v>
          </cell>
          <cell r="J16">
            <v>2</v>
          </cell>
        </row>
        <row r="17"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5</v>
          </cell>
        </row>
        <row r="18">
          <cell r="E18">
            <v>1</v>
          </cell>
          <cell r="F18">
            <v>1</v>
          </cell>
          <cell r="G18">
            <v>1</v>
          </cell>
          <cell r="H18">
            <v>1</v>
          </cell>
          <cell r="J18">
            <v>4</v>
          </cell>
        </row>
        <row r="19">
          <cell r="F19">
            <v>1</v>
          </cell>
          <cell r="G19">
            <v>1</v>
          </cell>
          <cell r="J19">
            <v>2</v>
          </cell>
        </row>
        <row r="20">
          <cell r="I20">
            <v>1</v>
          </cell>
          <cell r="J20">
            <v>1</v>
          </cell>
        </row>
        <row r="21">
          <cell r="F21">
            <v>1</v>
          </cell>
          <cell r="G21">
            <v>1</v>
          </cell>
          <cell r="I21">
            <v>1</v>
          </cell>
          <cell r="J21">
            <v>3</v>
          </cell>
        </row>
        <row r="22">
          <cell r="F22">
            <v>1</v>
          </cell>
          <cell r="J22">
            <v>1</v>
          </cell>
        </row>
        <row r="23">
          <cell r="E23">
            <v>1</v>
          </cell>
          <cell r="G23">
            <v>1</v>
          </cell>
          <cell r="H23">
            <v>1</v>
          </cell>
          <cell r="J23">
            <v>3</v>
          </cell>
        </row>
        <row r="24">
          <cell r="E24">
            <v>1</v>
          </cell>
          <cell r="H24">
            <v>1</v>
          </cell>
          <cell r="J24">
            <v>2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5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J26">
            <v>4</v>
          </cell>
        </row>
        <row r="27">
          <cell r="F27">
            <v>1</v>
          </cell>
          <cell r="I27">
            <v>1</v>
          </cell>
          <cell r="J27">
            <v>2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J29">
            <v>90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9">
          <cell r="E29">
            <v>17</v>
          </cell>
          <cell r="F29">
            <v>13</v>
          </cell>
          <cell r="G29">
            <v>12</v>
          </cell>
          <cell r="H29">
            <v>12</v>
          </cell>
          <cell r="I29">
            <v>14</v>
          </cell>
        </row>
      </sheetData>
      <sheetData sheetId="17">
        <row r="29">
          <cell r="E29">
            <v>10</v>
          </cell>
          <cell r="F29">
            <v>11</v>
          </cell>
          <cell r="G29">
            <v>12</v>
          </cell>
          <cell r="H29">
            <v>11</v>
          </cell>
          <cell r="I29">
            <v>12</v>
          </cell>
        </row>
      </sheetData>
      <sheetData sheetId="18">
        <row r="29">
          <cell r="E29">
            <v>15</v>
          </cell>
          <cell r="F29">
            <v>11</v>
          </cell>
          <cell r="G29">
            <v>13</v>
          </cell>
          <cell r="H29">
            <v>19</v>
          </cell>
          <cell r="I29">
            <v>15</v>
          </cell>
        </row>
      </sheetData>
      <sheetData sheetId="19"/>
      <sheetData sheetId="20">
        <row r="49">
          <cell r="E49">
            <v>0.22093023255813954</v>
          </cell>
          <cell r="F49">
            <v>0.16666666666666666</v>
          </cell>
          <cell r="G49">
            <v>0.18992248062015504</v>
          </cell>
          <cell r="H49">
            <v>0.21705426356589147</v>
          </cell>
          <cell r="I49">
            <v>0.20542635658914729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4A8F9-A50D-4E33-B43E-C62D00B9233D}">
  <dimension ref="A1:Y109"/>
  <sheetViews>
    <sheetView tabSelected="1" zoomScaleNormal="100" workbookViewId="0">
      <selection activeCell="E76" sqref="E76"/>
    </sheetView>
  </sheetViews>
  <sheetFormatPr baseColWidth="10" defaultRowHeight="12.75" x14ac:dyDescent="0.2"/>
  <cols>
    <col min="1" max="1" width="29.85546875" style="5" customWidth="1"/>
    <col min="2" max="2" width="11.5703125" style="5" customWidth="1"/>
    <col min="3" max="3" width="0" style="5" hidden="1" customWidth="1"/>
    <col min="4" max="4" width="10.5703125" style="5" customWidth="1"/>
    <col min="5" max="5" width="9.7109375" style="5" customWidth="1"/>
    <col min="6" max="6" width="9.28515625" style="5" customWidth="1"/>
    <col min="7" max="7" width="11.42578125" style="5"/>
    <col min="8" max="8" width="10.28515625" style="5" customWidth="1"/>
    <col min="9" max="9" width="11.42578125" style="5"/>
    <col min="10" max="10" width="8.140625" style="5" customWidth="1"/>
    <col min="11" max="19" width="11.42578125" style="5"/>
    <col min="20" max="20" width="15.85546875" style="5" bestFit="1" customWidth="1"/>
    <col min="21" max="256" width="11.42578125" style="5"/>
    <col min="257" max="257" width="29.85546875" style="5" customWidth="1"/>
    <col min="258" max="258" width="11.5703125" style="5" customWidth="1"/>
    <col min="259" max="259" width="0" style="5" hidden="1" customWidth="1"/>
    <col min="260" max="260" width="10.5703125" style="5" customWidth="1"/>
    <col min="261" max="261" width="9.7109375" style="5" customWidth="1"/>
    <col min="262" max="262" width="9.28515625" style="5" customWidth="1"/>
    <col min="263" max="263" width="11.42578125" style="5"/>
    <col min="264" max="264" width="10.28515625" style="5" customWidth="1"/>
    <col min="265" max="265" width="11.42578125" style="5"/>
    <col min="266" max="266" width="8.140625" style="5" customWidth="1"/>
    <col min="267" max="275" width="11.42578125" style="5"/>
    <col min="276" max="276" width="15.85546875" style="5" bestFit="1" customWidth="1"/>
    <col min="277" max="512" width="11.42578125" style="5"/>
    <col min="513" max="513" width="29.85546875" style="5" customWidth="1"/>
    <col min="514" max="514" width="11.5703125" style="5" customWidth="1"/>
    <col min="515" max="515" width="0" style="5" hidden="1" customWidth="1"/>
    <col min="516" max="516" width="10.5703125" style="5" customWidth="1"/>
    <col min="517" max="517" width="9.7109375" style="5" customWidth="1"/>
    <col min="518" max="518" width="9.28515625" style="5" customWidth="1"/>
    <col min="519" max="519" width="11.42578125" style="5"/>
    <col min="520" max="520" width="10.28515625" style="5" customWidth="1"/>
    <col min="521" max="521" width="11.42578125" style="5"/>
    <col min="522" max="522" width="8.140625" style="5" customWidth="1"/>
    <col min="523" max="531" width="11.42578125" style="5"/>
    <col min="532" max="532" width="15.85546875" style="5" bestFit="1" customWidth="1"/>
    <col min="533" max="768" width="11.42578125" style="5"/>
    <col min="769" max="769" width="29.85546875" style="5" customWidth="1"/>
    <col min="770" max="770" width="11.5703125" style="5" customWidth="1"/>
    <col min="771" max="771" width="0" style="5" hidden="1" customWidth="1"/>
    <col min="772" max="772" width="10.5703125" style="5" customWidth="1"/>
    <col min="773" max="773" width="9.7109375" style="5" customWidth="1"/>
    <col min="774" max="774" width="9.28515625" style="5" customWidth="1"/>
    <col min="775" max="775" width="11.42578125" style="5"/>
    <col min="776" max="776" width="10.28515625" style="5" customWidth="1"/>
    <col min="777" max="777" width="11.42578125" style="5"/>
    <col min="778" max="778" width="8.140625" style="5" customWidth="1"/>
    <col min="779" max="787" width="11.42578125" style="5"/>
    <col min="788" max="788" width="15.85546875" style="5" bestFit="1" customWidth="1"/>
    <col min="789" max="1024" width="11.42578125" style="5"/>
    <col min="1025" max="1025" width="29.85546875" style="5" customWidth="1"/>
    <col min="1026" max="1026" width="11.5703125" style="5" customWidth="1"/>
    <col min="1027" max="1027" width="0" style="5" hidden="1" customWidth="1"/>
    <col min="1028" max="1028" width="10.5703125" style="5" customWidth="1"/>
    <col min="1029" max="1029" width="9.7109375" style="5" customWidth="1"/>
    <col min="1030" max="1030" width="9.28515625" style="5" customWidth="1"/>
    <col min="1031" max="1031" width="11.42578125" style="5"/>
    <col min="1032" max="1032" width="10.28515625" style="5" customWidth="1"/>
    <col min="1033" max="1033" width="11.42578125" style="5"/>
    <col min="1034" max="1034" width="8.140625" style="5" customWidth="1"/>
    <col min="1035" max="1043" width="11.42578125" style="5"/>
    <col min="1044" max="1044" width="15.85546875" style="5" bestFit="1" customWidth="1"/>
    <col min="1045" max="1280" width="11.42578125" style="5"/>
    <col min="1281" max="1281" width="29.85546875" style="5" customWidth="1"/>
    <col min="1282" max="1282" width="11.5703125" style="5" customWidth="1"/>
    <col min="1283" max="1283" width="0" style="5" hidden="1" customWidth="1"/>
    <col min="1284" max="1284" width="10.5703125" style="5" customWidth="1"/>
    <col min="1285" max="1285" width="9.7109375" style="5" customWidth="1"/>
    <col min="1286" max="1286" width="9.28515625" style="5" customWidth="1"/>
    <col min="1287" max="1287" width="11.42578125" style="5"/>
    <col min="1288" max="1288" width="10.28515625" style="5" customWidth="1"/>
    <col min="1289" max="1289" width="11.42578125" style="5"/>
    <col min="1290" max="1290" width="8.140625" style="5" customWidth="1"/>
    <col min="1291" max="1299" width="11.42578125" style="5"/>
    <col min="1300" max="1300" width="15.85546875" style="5" bestFit="1" customWidth="1"/>
    <col min="1301" max="1536" width="11.42578125" style="5"/>
    <col min="1537" max="1537" width="29.85546875" style="5" customWidth="1"/>
    <col min="1538" max="1538" width="11.5703125" style="5" customWidth="1"/>
    <col min="1539" max="1539" width="0" style="5" hidden="1" customWidth="1"/>
    <col min="1540" max="1540" width="10.5703125" style="5" customWidth="1"/>
    <col min="1541" max="1541" width="9.7109375" style="5" customWidth="1"/>
    <col min="1542" max="1542" width="9.28515625" style="5" customWidth="1"/>
    <col min="1543" max="1543" width="11.42578125" style="5"/>
    <col min="1544" max="1544" width="10.28515625" style="5" customWidth="1"/>
    <col min="1545" max="1545" width="11.42578125" style="5"/>
    <col min="1546" max="1546" width="8.140625" style="5" customWidth="1"/>
    <col min="1547" max="1555" width="11.42578125" style="5"/>
    <col min="1556" max="1556" width="15.85546875" style="5" bestFit="1" customWidth="1"/>
    <col min="1557" max="1792" width="11.42578125" style="5"/>
    <col min="1793" max="1793" width="29.85546875" style="5" customWidth="1"/>
    <col min="1794" max="1794" width="11.5703125" style="5" customWidth="1"/>
    <col min="1795" max="1795" width="0" style="5" hidden="1" customWidth="1"/>
    <col min="1796" max="1796" width="10.5703125" style="5" customWidth="1"/>
    <col min="1797" max="1797" width="9.7109375" style="5" customWidth="1"/>
    <col min="1798" max="1798" width="9.28515625" style="5" customWidth="1"/>
    <col min="1799" max="1799" width="11.42578125" style="5"/>
    <col min="1800" max="1800" width="10.28515625" style="5" customWidth="1"/>
    <col min="1801" max="1801" width="11.42578125" style="5"/>
    <col min="1802" max="1802" width="8.140625" style="5" customWidth="1"/>
    <col min="1803" max="1811" width="11.42578125" style="5"/>
    <col min="1812" max="1812" width="15.85546875" style="5" bestFit="1" customWidth="1"/>
    <col min="1813" max="2048" width="11.42578125" style="5"/>
    <col min="2049" max="2049" width="29.85546875" style="5" customWidth="1"/>
    <col min="2050" max="2050" width="11.5703125" style="5" customWidth="1"/>
    <col min="2051" max="2051" width="0" style="5" hidden="1" customWidth="1"/>
    <col min="2052" max="2052" width="10.5703125" style="5" customWidth="1"/>
    <col min="2053" max="2053" width="9.7109375" style="5" customWidth="1"/>
    <col min="2054" max="2054" width="9.28515625" style="5" customWidth="1"/>
    <col min="2055" max="2055" width="11.42578125" style="5"/>
    <col min="2056" max="2056" width="10.28515625" style="5" customWidth="1"/>
    <col min="2057" max="2057" width="11.42578125" style="5"/>
    <col min="2058" max="2058" width="8.140625" style="5" customWidth="1"/>
    <col min="2059" max="2067" width="11.42578125" style="5"/>
    <col min="2068" max="2068" width="15.85546875" style="5" bestFit="1" customWidth="1"/>
    <col min="2069" max="2304" width="11.42578125" style="5"/>
    <col min="2305" max="2305" width="29.85546875" style="5" customWidth="1"/>
    <col min="2306" max="2306" width="11.5703125" style="5" customWidth="1"/>
    <col min="2307" max="2307" width="0" style="5" hidden="1" customWidth="1"/>
    <col min="2308" max="2308" width="10.5703125" style="5" customWidth="1"/>
    <col min="2309" max="2309" width="9.7109375" style="5" customWidth="1"/>
    <col min="2310" max="2310" width="9.28515625" style="5" customWidth="1"/>
    <col min="2311" max="2311" width="11.42578125" style="5"/>
    <col min="2312" max="2312" width="10.28515625" style="5" customWidth="1"/>
    <col min="2313" max="2313" width="11.42578125" style="5"/>
    <col min="2314" max="2314" width="8.140625" style="5" customWidth="1"/>
    <col min="2315" max="2323" width="11.42578125" style="5"/>
    <col min="2324" max="2324" width="15.85546875" style="5" bestFit="1" customWidth="1"/>
    <col min="2325" max="2560" width="11.42578125" style="5"/>
    <col min="2561" max="2561" width="29.85546875" style="5" customWidth="1"/>
    <col min="2562" max="2562" width="11.5703125" style="5" customWidth="1"/>
    <col min="2563" max="2563" width="0" style="5" hidden="1" customWidth="1"/>
    <col min="2564" max="2564" width="10.5703125" style="5" customWidth="1"/>
    <col min="2565" max="2565" width="9.7109375" style="5" customWidth="1"/>
    <col min="2566" max="2566" width="9.28515625" style="5" customWidth="1"/>
    <col min="2567" max="2567" width="11.42578125" style="5"/>
    <col min="2568" max="2568" width="10.28515625" style="5" customWidth="1"/>
    <col min="2569" max="2569" width="11.42578125" style="5"/>
    <col min="2570" max="2570" width="8.140625" style="5" customWidth="1"/>
    <col min="2571" max="2579" width="11.42578125" style="5"/>
    <col min="2580" max="2580" width="15.85546875" style="5" bestFit="1" customWidth="1"/>
    <col min="2581" max="2816" width="11.42578125" style="5"/>
    <col min="2817" max="2817" width="29.85546875" style="5" customWidth="1"/>
    <col min="2818" max="2818" width="11.5703125" style="5" customWidth="1"/>
    <col min="2819" max="2819" width="0" style="5" hidden="1" customWidth="1"/>
    <col min="2820" max="2820" width="10.5703125" style="5" customWidth="1"/>
    <col min="2821" max="2821" width="9.7109375" style="5" customWidth="1"/>
    <col min="2822" max="2822" width="9.28515625" style="5" customWidth="1"/>
    <col min="2823" max="2823" width="11.42578125" style="5"/>
    <col min="2824" max="2824" width="10.28515625" style="5" customWidth="1"/>
    <col min="2825" max="2825" width="11.42578125" style="5"/>
    <col min="2826" max="2826" width="8.140625" style="5" customWidth="1"/>
    <col min="2827" max="2835" width="11.42578125" style="5"/>
    <col min="2836" max="2836" width="15.85546875" style="5" bestFit="1" customWidth="1"/>
    <col min="2837" max="3072" width="11.42578125" style="5"/>
    <col min="3073" max="3073" width="29.85546875" style="5" customWidth="1"/>
    <col min="3074" max="3074" width="11.5703125" style="5" customWidth="1"/>
    <col min="3075" max="3075" width="0" style="5" hidden="1" customWidth="1"/>
    <col min="3076" max="3076" width="10.5703125" style="5" customWidth="1"/>
    <col min="3077" max="3077" width="9.7109375" style="5" customWidth="1"/>
    <col min="3078" max="3078" width="9.28515625" style="5" customWidth="1"/>
    <col min="3079" max="3079" width="11.42578125" style="5"/>
    <col min="3080" max="3080" width="10.28515625" style="5" customWidth="1"/>
    <col min="3081" max="3081" width="11.42578125" style="5"/>
    <col min="3082" max="3082" width="8.140625" style="5" customWidth="1"/>
    <col min="3083" max="3091" width="11.42578125" style="5"/>
    <col min="3092" max="3092" width="15.85546875" style="5" bestFit="1" customWidth="1"/>
    <col min="3093" max="3328" width="11.42578125" style="5"/>
    <col min="3329" max="3329" width="29.85546875" style="5" customWidth="1"/>
    <col min="3330" max="3330" width="11.5703125" style="5" customWidth="1"/>
    <col min="3331" max="3331" width="0" style="5" hidden="1" customWidth="1"/>
    <col min="3332" max="3332" width="10.5703125" style="5" customWidth="1"/>
    <col min="3333" max="3333" width="9.7109375" style="5" customWidth="1"/>
    <col min="3334" max="3334" width="9.28515625" style="5" customWidth="1"/>
    <col min="3335" max="3335" width="11.42578125" style="5"/>
    <col min="3336" max="3336" width="10.28515625" style="5" customWidth="1"/>
    <col min="3337" max="3337" width="11.42578125" style="5"/>
    <col min="3338" max="3338" width="8.140625" style="5" customWidth="1"/>
    <col min="3339" max="3347" width="11.42578125" style="5"/>
    <col min="3348" max="3348" width="15.85546875" style="5" bestFit="1" customWidth="1"/>
    <col min="3349" max="3584" width="11.42578125" style="5"/>
    <col min="3585" max="3585" width="29.85546875" style="5" customWidth="1"/>
    <col min="3586" max="3586" width="11.5703125" style="5" customWidth="1"/>
    <col min="3587" max="3587" width="0" style="5" hidden="1" customWidth="1"/>
    <col min="3588" max="3588" width="10.5703125" style="5" customWidth="1"/>
    <col min="3589" max="3589" width="9.7109375" style="5" customWidth="1"/>
    <col min="3590" max="3590" width="9.28515625" style="5" customWidth="1"/>
    <col min="3591" max="3591" width="11.42578125" style="5"/>
    <col min="3592" max="3592" width="10.28515625" style="5" customWidth="1"/>
    <col min="3593" max="3593" width="11.42578125" style="5"/>
    <col min="3594" max="3594" width="8.140625" style="5" customWidth="1"/>
    <col min="3595" max="3603" width="11.42578125" style="5"/>
    <col min="3604" max="3604" width="15.85546875" style="5" bestFit="1" customWidth="1"/>
    <col min="3605" max="3840" width="11.42578125" style="5"/>
    <col min="3841" max="3841" width="29.85546875" style="5" customWidth="1"/>
    <col min="3842" max="3842" width="11.5703125" style="5" customWidth="1"/>
    <col min="3843" max="3843" width="0" style="5" hidden="1" customWidth="1"/>
    <col min="3844" max="3844" width="10.5703125" style="5" customWidth="1"/>
    <col min="3845" max="3845" width="9.7109375" style="5" customWidth="1"/>
    <col min="3846" max="3846" width="9.28515625" style="5" customWidth="1"/>
    <col min="3847" max="3847" width="11.42578125" style="5"/>
    <col min="3848" max="3848" width="10.28515625" style="5" customWidth="1"/>
    <col min="3849" max="3849" width="11.42578125" style="5"/>
    <col min="3850" max="3850" width="8.140625" style="5" customWidth="1"/>
    <col min="3851" max="3859" width="11.42578125" style="5"/>
    <col min="3860" max="3860" width="15.85546875" style="5" bestFit="1" customWidth="1"/>
    <col min="3861" max="4096" width="11.42578125" style="5"/>
    <col min="4097" max="4097" width="29.85546875" style="5" customWidth="1"/>
    <col min="4098" max="4098" width="11.5703125" style="5" customWidth="1"/>
    <col min="4099" max="4099" width="0" style="5" hidden="1" customWidth="1"/>
    <col min="4100" max="4100" width="10.5703125" style="5" customWidth="1"/>
    <col min="4101" max="4101" width="9.7109375" style="5" customWidth="1"/>
    <col min="4102" max="4102" width="9.28515625" style="5" customWidth="1"/>
    <col min="4103" max="4103" width="11.42578125" style="5"/>
    <col min="4104" max="4104" width="10.28515625" style="5" customWidth="1"/>
    <col min="4105" max="4105" width="11.42578125" style="5"/>
    <col min="4106" max="4106" width="8.140625" style="5" customWidth="1"/>
    <col min="4107" max="4115" width="11.42578125" style="5"/>
    <col min="4116" max="4116" width="15.85546875" style="5" bestFit="1" customWidth="1"/>
    <col min="4117" max="4352" width="11.42578125" style="5"/>
    <col min="4353" max="4353" width="29.85546875" style="5" customWidth="1"/>
    <col min="4354" max="4354" width="11.5703125" style="5" customWidth="1"/>
    <col min="4355" max="4355" width="0" style="5" hidden="1" customWidth="1"/>
    <col min="4356" max="4356" width="10.5703125" style="5" customWidth="1"/>
    <col min="4357" max="4357" width="9.7109375" style="5" customWidth="1"/>
    <col min="4358" max="4358" width="9.28515625" style="5" customWidth="1"/>
    <col min="4359" max="4359" width="11.42578125" style="5"/>
    <col min="4360" max="4360" width="10.28515625" style="5" customWidth="1"/>
    <col min="4361" max="4361" width="11.42578125" style="5"/>
    <col min="4362" max="4362" width="8.140625" style="5" customWidth="1"/>
    <col min="4363" max="4371" width="11.42578125" style="5"/>
    <col min="4372" max="4372" width="15.85546875" style="5" bestFit="1" customWidth="1"/>
    <col min="4373" max="4608" width="11.42578125" style="5"/>
    <col min="4609" max="4609" width="29.85546875" style="5" customWidth="1"/>
    <col min="4610" max="4610" width="11.5703125" style="5" customWidth="1"/>
    <col min="4611" max="4611" width="0" style="5" hidden="1" customWidth="1"/>
    <col min="4612" max="4612" width="10.5703125" style="5" customWidth="1"/>
    <col min="4613" max="4613" width="9.7109375" style="5" customWidth="1"/>
    <col min="4614" max="4614" width="9.28515625" style="5" customWidth="1"/>
    <col min="4615" max="4615" width="11.42578125" style="5"/>
    <col min="4616" max="4616" width="10.28515625" style="5" customWidth="1"/>
    <col min="4617" max="4617" width="11.42578125" style="5"/>
    <col min="4618" max="4618" width="8.140625" style="5" customWidth="1"/>
    <col min="4619" max="4627" width="11.42578125" style="5"/>
    <col min="4628" max="4628" width="15.85546875" style="5" bestFit="1" customWidth="1"/>
    <col min="4629" max="4864" width="11.42578125" style="5"/>
    <col min="4865" max="4865" width="29.85546875" style="5" customWidth="1"/>
    <col min="4866" max="4866" width="11.5703125" style="5" customWidth="1"/>
    <col min="4867" max="4867" width="0" style="5" hidden="1" customWidth="1"/>
    <col min="4868" max="4868" width="10.5703125" style="5" customWidth="1"/>
    <col min="4869" max="4869" width="9.7109375" style="5" customWidth="1"/>
    <col min="4870" max="4870" width="9.28515625" style="5" customWidth="1"/>
    <col min="4871" max="4871" width="11.42578125" style="5"/>
    <col min="4872" max="4872" width="10.28515625" style="5" customWidth="1"/>
    <col min="4873" max="4873" width="11.42578125" style="5"/>
    <col min="4874" max="4874" width="8.140625" style="5" customWidth="1"/>
    <col min="4875" max="4883" width="11.42578125" style="5"/>
    <col min="4884" max="4884" width="15.85546875" style="5" bestFit="1" customWidth="1"/>
    <col min="4885" max="5120" width="11.42578125" style="5"/>
    <col min="5121" max="5121" width="29.85546875" style="5" customWidth="1"/>
    <col min="5122" max="5122" width="11.5703125" style="5" customWidth="1"/>
    <col min="5123" max="5123" width="0" style="5" hidden="1" customWidth="1"/>
    <col min="5124" max="5124" width="10.5703125" style="5" customWidth="1"/>
    <col min="5125" max="5125" width="9.7109375" style="5" customWidth="1"/>
    <col min="5126" max="5126" width="9.28515625" style="5" customWidth="1"/>
    <col min="5127" max="5127" width="11.42578125" style="5"/>
    <col min="5128" max="5128" width="10.28515625" style="5" customWidth="1"/>
    <col min="5129" max="5129" width="11.42578125" style="5"/>
    <col min="5130" max="5130" width="8.140625" style="5" customWidth="1"/>
    <col min="5131" max="5139" width="11.42578125" style="5"/>
    <col min="5140" max="5140" width="15.85546875" style="5" bestFit="1" customWidth="1"/>
    <col min="5141" max="5376" width="11.42578125" style="5"/>
    <col min="5377" max="5377" width="29.85546875" style="5" customWidth="1"/>
    <col min="5378" max="5378" width="11.5703125" style="5" customWidth="1"/>
    <col min="5379" max="5379" width="0" style="5" hidden="1" customWidth="1"/>
    <col min="5380" max="5380" width="10.5703125" style="5" customWidth="1"/>
    <col min="5381" max="5381" width="9.7109375" style="5" customWidth="1"/>
    <col min="5382" max="5382" width="9.28515625" style="5" customWidth="1"/>
    <col min="5383" max="5383" width="11.42578125" style="5"/>
    <col min="5384" max="5384" width="10.28515625" style="5" customWidth="1"/>
    <col min="5385" max="5385" width="11.42578125" style="5"/>
    <col min="5386" max="5386" width="8.140625" style="5" customWidth="1"/>
    <col min="5387" max="5395" width="11.42578125" style="5"/>
    <col min="5396" max="5396" width="15.85546875" style="5" bestFit="1" customWidth="1"/>
    <col min="5397" max="5632" width="11.42578125" style="5"/>
    <col min="5633" max="5633" width="29.85546875" style="5" customWidth="1"/>
    <col min="5634" max="5634" width="11.5703125" style="5" customWidth="1"/>
    <col min="5635" max="5635" width="0" style="5" hidden="1" customWidth="1"/>
    <col min="5636" max="5636" width="10.5703125" style="5" customWidth="1"/>
    <col min="5637" max="5637" width="9.7109375" style="5" customWidth="1"/>
    <col min="5638" max="5638" width="9.28515625" style="5" customWidth="1"/>
    <col min="5639" max="5639" width="11.42578125" style="5"/>
    <col min="5640" max="5640" width="10.28515625" style="5" customWidth="1"/>
    <col min="5641" max="5641" width="11.42578125" style="5"/>
    <col min="5642" max="5642" width="8.140625" style="5" customWidth="1"/>
    <col min="5643" max="5651" width="11.42578125" style="5"/>
    <col min="5652" max="5652" width="15.85546875" style="5" bestFit="1" customWidth="1"/>
    <col min="5653" max="5888" width="11.42578125" style="5"/>
    <col min="5889" max="5889" width="29.85546875" style="5" customWidth="1"/>
    <col min="5890" max="5890" width="11.5703125" style="5" customWidth="1"/>
    <col min="5891" max="5891" width="0" style="5" hidden="1" customWidth="1"/>
    <col min="5892" max="5892" width="10.5703125" style="5" customWidth="1"/>
    <col min="5893" max="5893" width="9.7109375" style="5" customWidth="1"/>
    <col min="5894" max="5894" width="9.28515625" style="5" customWidth="1"/>
    <col min="5895" max="5895" width="11.42578125" style="5"/>
    <col min="5896" max="5896" width="10.28515625" style="5" customWidth="1"/>
    <col min="5897" max="5897" width="11.42578125" style="5"/>
    <col min="5898" max="5898" width="8.140625" style="5" customWidth="1"/>
    <col min="5899" max="5907" width="11.42578125" style="5"/>
    <col min="5908" max="5908" width="15.85546875" style="5" bestFit="1" customWidth="1"/>
    <col min="5909" max="6144" width="11.42578125" style="5"/>
    <col min="6145" max="6145" width="29.85546875" style="5" customWidth="1"/>
    <col min="6146" max="6146" width="11.5703125" style="5" customWidth="1"/>
    <col min="6147" max="6147" width="0" style="5" hidden="1" customWidth="1"/>
    <col min="6148" max="6148" width="10.5703125" style="5" customWidth="1"/>
    <col min="6149" max="6149" width="9.7109375" style="5" customWidth="1"/>
    <col min="6150" max="6150" width="9.28515625" style="5" customWidth="1"/>
    <col min="6151" max="6151" width="11.42578125" style="5"/>
    <col min="6152" max="6152" width="10.28515625" style="5" customWidth="1"/>
    <col min="6153" max="6153" width="11.42578125" style="5"/>
    <col min="6154" max="6154" width="8.140625" style="5" customWidth="1"/>
    <col min="6155" max="6163" width="11.42578125" style="5"/>
    <col min="6164" max="6164" width="15.85546875" style="5" bestFit="1" customWidth="1"/>
    <col min="6165" max="6400" width="11.42578125" style="5"/>
    <col min="6401" max="6401" width="29.85546875" style="5" customWidth="1"/>
    <col min="6402" max="6402" width="11.5703125" style="5" customWidth="1"/>
    <col min="6403" max="6403" width="0" style="5" hidden="1" customWidth="1"/>
    <col min="6404" max="6404" width="10.5703125" style="5" customWidth="1"/>
    <col min="6405" max="6405" width="9.7109375" style="5" customWidth="1"/>
    <col min="6406" max="6406" width="9.28515625" style="5" customWidth="1"/>
    <col min="6407" max="6407" width="11.42578125" style="5"/>
    <col min="6408" max="6408" width="10.28515625" style="5" customWidth="1"/>
    <col min="6409" max="6409" width="11.42578125" style="5"/>
    <col min="6410" max="6410" width="8.140625" style="5" customWidth="1"/>
    <col min="6411" max="6419" width="11.42578125" style="5"/>
    <col min="6420" max="6420" width="15.85546875" style="5" bestFit="1" customWidth="1"/>
    <col min="6421" max="6656" width="11.42578125" style="5"/>
    <col min="6657" max="6657" width="29.85546875" style="5" customWidth="1"/>
    <col min="6658" max="6658" width="11.5703125" style="5" customWidth="1"/>
    <col min="6659" max="6659" width="0" style="5" hidden="1" customWidth="1"/>
    <col min="6660" max="6660" width="10.5703125" style="5" customWidth="1"/>
    <col min="6661" max="6661" width="9.7109375" style="5" customWidth="1"/>
    <col min="6662" max="6662" width="9.28515625" style="5" customWidth="1"/>
    <col min="6663" max="6663" width="11.42578125" style="5"/>
    <col min="6664" max="6664" width="10.28515625" style="5" customWidth="1"/>
    <col min="6665" max="6665" width="11.42578125" style="5"/>
    <col min="6666" max="6666" width="8.140625" style="5" customWidth="1"/>
    <col min="6667" max="6675" width="11.42578125" style="5"/>
    <col min="6676" max="6676" width="15.85546875" style="5" bestFit="1" customWidth="1"/>
    <col min="6677" max="6912" width="11.42578125" style="5"/>
    <col min="6913" max="6913" width="29.85546875" style="5" customWidth="1"/>
    <col min="6914" max="6914" width="11.5703125" style="5" customWidth="1"/>
    <col min="6915" max="6915" width="0" style="5" hidden="1" customWidth="1"/>
    <col min="6916" max="6916" width="10.5703125" style="5" customWidth="1"/>
    <col min="6917" max="6917" width="9.7109375" style="5" customWidth="1"/>
    <col min="6918" max="6918" width="9.28515625" style="5" customWidth="1"/>
    <col min="6919" max="6919" width="11.42578125" style="5"/>
    <col min="6920" max="6920" width="10.28515625" style="5" customWidth="1"/>
    <col min="6921" max="6921" width="11.42578125" style="5"/>
    <col min="6922" max="6922" width="8.140625" style="5" customWidth="1"/>
    <col min="6923" max="6931" width="11.42578125" style="5"/>
    <col min="6932" max="6932" width="15.85546875" style="5" bestFit="1" customWidth="1"/>
    <col min="6933" max="7168" width="11.42578125" style="5"/>
    <col min="7169" max="7169" width="29.85546875" style="5" customWidth="1"/>
    <col min="7170" max="7170" width="11.5703125" style="5" customWidth="1"/>
    <col min="7171" max="7171" width="0" style="5" hidden="1" customWidth="1"/>
    <col min="7172" max="7172" width="10.5703125" style="5" customWidth="1"/>
    <col min="7173" max="7173" width="9.7109375" style="5" customWidth="1"/>
    <col min="7174" max="7174" width="9.28515625" style="5" customWidth="1"/>
    <col min="7175" max="7175" width="11.42578125" style="5"/>
    <col min="7176" max="7176" width="10.28515625" style="5" customWidth="1"/>
    <col min="7177" max="7177" width="11.42578125" style="5"/>
    <col min="7178" max="7178" width="8.140625" style="5" customWidth="1"/>
    <col min="7179" max="7187" width="11.42578125" style="5"/>
    <col min="7188" max="7188" width="15.85546875" style="5" bestFit="1" customWidth="1"/>
    <col min="7189" max="7424" width="11.42578125" style="5"/>
    <col min="7425" max="7425" width="29.85546875" style="5" customWidth="1"/>
    <col min="7426" max="7426" width="11.5703125" style="5" customWidth="1"/>
    <col min="7427" max="7427" width="0" style="5" hidden="1" customWidth="1"/>
    <col min="7428" max="7428" width="10.5703125" style="5" customWidth="1"/>
    <col min="7429" max="7429" width="9.7109375" style="5" customWidth="1"/>
    <col min="7430" max="7430" width="9.28515625" style="5" customWidth="1"/>
    <col min="7431" max="7431" width="11.42578125" style="5"/>
    <col min="7432" max="7432" width="10.28515625" style="5" customWidth="1"/>
    <col min="7433" max="7433" width="11.42578125" style="5"/>
    <col min="7434" max="7434" width="8.140625" style="5" customWidth="1"/>
    <col min="7435" max="7443" width="11.42578125" style="5"/>
    <col min="7444" max="7444" width="15.85546875" style="5" bestFit="1" customWidth="1"/>
    <col min="7445" max="7680" width="11.42578125" style="5"/>
    <col min="7681" max="7681" width="29.85546875" style="5" customWidth="1"/>
    <col min="7682" max="7682" width="11.5703125" style="5" customWidth="1"/>
    <col min="7683" max="7683" width="0" style="5" hidden="1" customWidth="1"/>
    <col min="7684" max="7684" width="10.5703125" style="5" customWidth="1"/>
    <col min="7685" max="7685" width="9.7109375" style="5" customWidth="1"/>
    <col min="7686" max="7686" width="9.28515625" style="5" customWidth="1"/>
    <col min="7687" max="7687" width="11.42578125" style="5"/>
    <col min="7688" max="7688" width="10.28515625" style="5" customWidth="1"/>
    <col min="7689" max="7689" width="11.42578125" style="5"/>
    <col min="7690" max="7690" width="8.140625" style="5" customWidth="1"/>
    <col min="7691" max="7699" width="11.42578125" style="5"/>
    <col min="7700" max="7700" width="15.85546875" style="5" bestFit="1" customWidth="1"/>
    <col min="7701" max="7936" width="11.42578125" style="5"/>
    <col min="7937" max="7937" width="29.85546875" style="5" customWidth="1"/>
    <col min="7938" max="7938" width="11.5703125" style="5" customWidth="1"/>
    <col min="7939" max="7939" width="0" style="5" hidden="1" customWidth="1"/>
    <col min="7940" max="7940" width="10.5703125" style="5" customWidth="1"/>
    <col min="7941" max="7941" width="9.7109375" style="5" customWidth="1"/>
    <col min="7942" max="7942" width="9.28515625" style="5" customWidth="1"/>
    <col min="7943" max="7943" width="11.42578125" style="5"/>
    <col min="7944" max="7944" width="10.28515625" style="5" customWidth="1"/>
    <col min="7945" max="7945" width="11.42578125" style="5"/>
    <col min="7946" max="7946" width="8.140625" style="5" customWidth="1"/>
    <col min="7947" max="7955" width="11.42578125" style="5"/>
    <col min="7956" max="7956" width="15.85546875" style="5" bestFit="1" customWidth="1"/>
    <col min="7957" max="8192" width="11.42578125" style="5"/>
    <col min="8193" max="8193" width="29.85546875" style="5" customWidth="1"/>
    <col min="8194" max="8194" width="11.5703125" style="5" customWidth="1"/>
    <col min="8195" max="8195" width="0" style="5" hidden="1" customWidth="1"/>
    <col min="8196" max="8196" width="10.5703125" style="5" customWidth="1"/>
    <col min="8197" max="8197" width="9.7109375" style="5" customWidth="1"/>
    <col min="8198" max="8198" width="9.28515625" style="5" customWidth="1"/>
    <col min="8199" max="8199" width="11.42578125" style="5"/>
    <col min="8200" max="8200" width="10.28515625" style="5" customWidth="1"/>
    <col min="8201" max="8201" width="11.42578125" style="5"/>
    <col min="8202" max="8202" width="8.140625" style="5" customWidth="1"/>
    <col min="8203" max="8211" width="11.42578125" style="5"/>
    <col min="8212" max="8212" width="15.85546875" style="5" bestFit="1" customWidth="1"/>
    <col min="8213" max="8448" width="11.42578125" style="5"/>
    <col min="8449" max="8449" width="29.85546875" style="5" customWidth="1"/>
    <col min="8450" max="8450" width="11.5703125" style="5" customWidth="1"/>
    <col min="8451" max="8451" width="0" style="5" hidden="1" customWidth="1"/>
    <col min="8452" max="8452" width="10.5703125" style="5" customWidth="1"/>
    <col min="8453" max="8453" width="9.7109375" style="5" customWidth="1"/>
    <col min="8454" max="8454" width="9.28515625" style="5" customWidth="1"/>
    <col min="8455" max="8455" width="11.42578125" style="5"/>
    <col min="8456" max="8456" width="10.28515625" style="5" customWidth="1"/>
    <col min="8457" max="8457" width="11.42578125" style="5"/>
    <col min="8458" max="8458" width="8.140625" style="5" customWidth="1"/>
    <col min="8459" max="8467" width="11.42578125" style="5"/>
    <col min="8468" max="8468" width="15.85546875" style="5" bestFit="1" customWidth="1"/>
    <col min="8469" max="8704" width="11.42578125" style="5"/>
    <col min="8705" max="8705" width="29.85546875" style="5" customWidth="1"/>
    <col min="8706" max="8706" width="11.5703125" style="5" customWidth="1"/>
    <col min="8707" max="8707" width="0" style="5" hidden="1" customWidth="1"/>
    <col min="8708" max="8708" width="10.5703125" style="5" customWidth="1"/>
    <col min="8709" max="8709" width="9.7109375" style="5" customWidth="1"/>
    <col min="8710" max="8710" width="9.28515625" style="5" customWidth="1"/>
    <col min="8711" max="8711" width="11.42578125" style="5"/>
    <col min="8712" max="8712" width="10.28515625" style="5" customWidth="1"/>
    <col min="8713" max="8713" width="11.42578125" style="5"/>
    <col min="8714" max="8714" width="8.140625" style="5" customWidth="1"/>
    <col min="8715" max="8723" width="11.42578125" style="5"/>
    <col min="8724" max="8724" width="15.85546875" style="5" bestFit="1" customWidth="1"/>
    <col min="8725" max="8960" width="11.42578125" style="5"/>
    <col min="8961" max="8961" width="29.85546875" style="5" customWidth="1"/>
    <col min="8962" max="8962" width="11.5703125" style="5" customWidth="1"/>
    <col min="8963" max="8963" width="0" style="5" hidden="1" customWidth="1"/>
    <col min="8964" max="8964" width="10.5703125" style="5" customWidth="1"/>
    <col min="8965" max="8965" width="9.7109375" style="5" customWidth="1"/>
    <col min="8966" max="8966" width="9.28515625" style="5" customWidth="1"/>
    <col min="8967" max="8967" width="11.42578125" style="5"/>
    <col min="8968" max="8968" width="10.28515625" style="5" customWidth="1"/>
    <col min="8969" max="8969" width="11.42578125" style="5"/>
    <col min="8970" max="8970" width="8.140625" style="5" customWidth="1"/>
    <col min="8971" max="8979" width="11.42578125" style="5"/>
    <col min="8980" max="8980" width="15.85546875" style="5" bestFit="1" customWidth="1"/>
    <col min="8981" max="9216" width="11.42578125" style="5"/>
    <col min="9217" max="9217" width="29.85546875" style="5" customWidth="1"/>
    <col min="9218" max="9218" width="11.5703125" style="5" customWidth="1"/>
    <col min="9219" max="9219" width="0" style="5" hidden="1" customWidth="1"/>
    <col min="9220" max="9220" width="10.5703125" style="5" customWidth="1"/>
    <col min="9221" max="9221" width="9.7109375" style="5" customWidth="1"/>
    <col min="9222" max="9222" width="9.28515625" style="5" customWidth="1"/>
    <col min="9223" max="9223" width="11.42578125" style="5"/>
    <col min="9224" max="9224" width="10.28515625" style="5" customWidth="1"/>
    <col min="9225" max="9225" width="11.42578125" style="5"/>
    <col min="9226" max="9226" width="8.140625" style="5" customWidth="1"/>
    <col min="9227" max="9235" width="11.42578125" style="5"/>
    <col min="9236" max="9236" width="15.85546875" style="5" bestFit="1" customWidth="1"/>
    <col min="9237" max="9472" width="11.42578125" style="5"/>
    <col min="9473" max="9473" width="29.85546875" style="5" customWidth="1"/>
    <col min="9474" max="9474" width="11.5703125" style="5" customWidth="1"/>
    <col min="9475" max="9475" width="0" style="5" hidden="1" customWidth="1"/>
    <col min="9476" max="9476" width="10.5703125" style="5" customWidth="1"/>
    <col min="9477" max="9477" width="9.7109375" style="5" customWidth="1"/>
    <col min="9478" max="9478" width="9.28515625" style="5" customWidth="1"/>
    <col min="9479" max="9479" width="11.42578125" style="5"/>
    <col min="9480" max="9480" width="10.28515625" style="5" customWidth="1"/>
    <col min="9481" max="9481" width="11.42578125" style="5"/>
    <col min="9482" max="9482" width="8.140625" style="5" customWidth="1"/>
    <col min="9483" max="9491" width="11.42578125" style="5"/>
    <col min="9492" max="9492" width="15.85546875" style="5" bestFit="1" customWidth="1"/>
    <col min="9493" max="9728" width="11.42578125" style="5"/>
    <col min="9729" max="9729" width="29.85546875" style="5" customWidth="1"/>
    <col min="9730" max="9730" width="11.5703125" style="5" customWidth="1"/>
    <col min="9731" max="9731" width="0" style="5" hidden="1" customWidth="1"/>
    <col min="9732" max="9732" width="10.5703125" style="5" customWidth="1"/>
    <col min="9733" max="9733" width="9.7109375" style="5" customWidth="1"/>
    <col min="9734" max="9734" width="9.28515625" style="5" customWidth="1"/>
    <col min="9735" max="9735" width="11.42578125" style="5"/>
    <col min="9736" max="9736" width="10.28515625" style="5" customWidth="1"/>
    <col min="9737" max="9737" width="11.42578125" style="5"/>
    <col min="9738" max="9738" width="8.140625" style="5" customWidth="1"/>
    <col min="9739" max="9747" width="11.42578125" style="5"/>
    <col min="9748" max="9748" width="15.85546875" style="5" bestFit="1" customWidth="1"/>
    <col min="9749" max="9984" width="11.42578125" style="5"/>
    <col min="9985" max="9985" width="29.85546875" style="5" customWidth="1"/>
    <col min="9986" max="9986" width="11.5703125" style="5" customWidth="1"/>
    <col min="9987" max="9987" width="0" style="5" hidden="1" customWidth="1"/>
    <col min="9988" max="9988" width="10.5703125" style="5" customWidth="1"/>
    <col min="9989" max="9989" width="9.7109375" style="5" customWidth="1"/>
    <col min="9990" max="9990" width="9.28515625" style="5" customWidth="1"/>
    <col min="9991" max="9991" width="11.42578125" style="5"/>
    <col min="9992" max="9992" width="10.28515625" style="5" customWidth="1"/>
    <col min="9993" max="9993" width="11.42578125" style="5"/>
    <col min="9994" max="9994" width="8.140625" style="5" customWidth="1"/>
    <col min="9995" max="10003" width="11.42578125" style="5"/>
    <col min="10004" max="10004" width="15.85546875" style="5" bestFit="1" customWidth="1"/>
    <col min="10005" max="10240" width="11.42578125" style="5"/>
    <col min="10241" max="10241" width="29.85546875" style="5" customWidth="1"/>
    <col min="10242" max="10242" width="11.5703125" style="5" customWidth="1"/>
    <col min="10243" max="10243" width="0" style="5" hidden="1" customWidth="1"/>
    <col min="10244" max="10244" width="10.5703125" style="5" customWidth="1"/>
    <col min="10245" max="10245" width="9.7109375" style="5" customWidth="1"/>
    <col min="10246" max="10246" width="9.28515625" style="5" customWidth="1"/>
    <col min="10247" max="10247" width="11.42578125" style="5"/>
    <col min="10248" max="10248" width="10.28515625" style="5" customWidth="1"/>
    <col min="10249" max="10249" width="11.42578125" style="5"/>
    <col min="10250" max="10250" width="8.140625" style="5" customWidth="1"/>
    <col min="10251" max="10259" width="11.42578125" style="5"/>
    <col min="10260" max="10260" width="15.85546875" style="5" bestFit="1" customWidth="1"/>
    <col min="10261" max="10496" width="11.42578125" style="5"/>
    <col min="10497" max="10497" width="29.85546875" style="5" customWidth="1"/>
    <col min="10498" max="10498" width="11.5703125" style="5" customWidth="1"/>
    <col min="10499" max="10499" width="0" style="5" hidden="1" customWidth="1"/>
    <col min="10500" max="10500" width="10.5703125" style="5" customWidth="1"/>
    <col min="10501" max="10501" width="9.7109375" style="5" customWidth="1"/>
    <col min="10502" max="10502" width="9.28515625" style="5" customWidth="1"/>
    <col min="10503" max="10503" width="11.42578125" style="5"/>
    <col min="10504" max="10504" width="10.28515625" style="5" customWidth="1"/>
    <col min="10505" max="10505" width="11.42578125" style="5"/>
    <col min="10506" max="10506" width="8.140625" style="5" customWidth="1"/>
    <col min="10507" max="10515" width="11.42578125" style="5"/>
    <col min="10516" max="10516" width="15.85546875" style="5" bestFit="1" customWidth="1"/>
    <col min="10517" max="10752" width="11.42578125" style="5"/>
    <col min="10753" max="10753" width="29.85546875" style="5" customWidth="1"/>
    <col min="10754" max="10754" width="11.5703125" style="5" customWidth="1"/>
    <col min="10755" max="10755" width="0" style="5" hidden="1" customWidth="1"/>
    <col min="10756" max="10756" width="10.5703125" style="5" customWidth="1"/>
    <col min="10757" max="10757" width="9.7109375" style="5" customWidth="1"/>
    <col min="10758" max="10758" width="9.28515625" style="5" customWidth="1"/>
    <col min="10759" max="10759" width="11.42578125" style="5"/>
    <col min="10760" max="10760" width="10.28515625" style="5" customWidth="1"/>
    <col min="10761" max="10761" width="11.42578125" style="5"/>
    <col min="10762" max="10762" width="8.140625" style="5" customWidth="1"/>
    <col min="10763" max="10771" width="11.42578125" style="5"/>
    <col min="10772" max="10772" width="15.85546875" style="5" bestFit="1" customWidth="1"/>
    <col min="10773" max="11008" width="11.42578125" style="5"/>
    <col min="11009" max="11009" width="29.85546875" style="5" customWidth="1"/>
    <col min="11010" max="11010" width="11.5703125" style="5" customWidth="1"/>
    <col min="11011" max="11011" width="0" style="5" hidden="1" customWidth="1"/>
    <col min="11012" max="11012" width="10.5703125" style="5" customWidth="1"/>
    <col min="11013" max="11013" width="9.7109375" style="5" customWidth="1"/>
    <col min="11014" max="11014" width="9.28515625" style="5" customWidth="1"/>
    <col min="11015" max="11015" width="11.42578125" style="5"/>
    <col min="11016" max="11016" width="10.28515625" style="5" customWidth="1"/>
    <col min="11017" max="11017" width="11.42578125" style="5"/>
    <col min="11018" max="11018" width="8.140625" style="5" customWidth="1"/>
    <col min="11019" max="11027" width="11.42578125" style="5"/>
    <col min="11028" max="11028" width="15.85546875" style="5" bestFit="1" customWidth="1"/>
    <col min="11029" max="11264" width="11.42578125" style="5"/>
    <col min="11265" max="11265" width="29.85546875" style="5" customWidth="1"/>
    <col min="11266" max="11266" width="11.5703125" style="5" customWidth="1"/>
    <col min="11267" max="11267" width="0" style="5" hidden="1" customWidth="1"/>
    <col min="11268" max="11268" width="10.5703125" style="5" customWidth="1"/>
    <col min="11269" max="11269" width="9.7109375" style="5" customWidth="1"/>
    <col min="11270" max="11270" width="9.28515625" style="5" customWidth="1"/>
    <col min="11271" max="11271" width="11.42578125" style="5"/>
    <col min="11272" max="11272" width="10.28515625" style="5" customWidth="1"/>
    <col min="11273" max="11273" width="11.42578125" style="5"/>
    <col min="11274" max="11274" width="8.140625" style="5" customWidth="1"/>
    <col min="11275" max="11283" width="11.42578125" style="5"/>
    <col min="11284" max="11284" width="15.85546875" style="5" bestFit="1" customWidth="1"/>
    <col min="11285" max="11520" width="11.42578125" style="5"/>
    <col min="11521" max="11521" width="29.85546875" style="5" customWidth="1"/>
    <col min="11522" max="11522" width="11.5703125" style="5" customWidth="1"/>
    <col min="11523" max="11523" width="0" style="5" hidden="1" customWidth="1"/>
    <col min="11524" max="11524" width="10.5703125" style="5" customWidth="1"/>
    <col min="11525" max="11525" width="9.7109375" style="5" customWidth="1"/>
    <col min="11526" max="11526" width="9.28515625" style="5" customWidth="1"/>
    <col min="11527" max="11527" width="11.42578125" style="5"/>
    <col min="11528" max="11528" width="10.28515625" style="5" customWidth="1"/>
    <col min="11529" max="11529" width="11.42578125" style="5"/>
    <col min="11530" max="11530" width="8.140625" style="5" customWidth="1"/>
    <col min="11531" max="11539" width="11.42578125" style="5"/>
    <col min="11540" max="11540" width="15.85546875" style="5" bestFit="1" customWidth="1"/>
    <col min="11541" max="11776" width="11.42578125" style="5"/>
    <col min="11777" max="11777" width="29.85546875" style="5" customWidth="1"/>
    <col min="11778" max="11778" width="11.5703125" style="5" customWidth="1"/>
    <col min="11779" max="11779" width="0" style="5" hidden="1" customWidth="1"/>
    <col min="11780" max="11780" width="10.5703125" style="5" customWidth="1"/>
    <col min="11781" max="11781" width="9.7109375" style="5" customWidth="1"/>
    <col min="11782" max="11782" width="9.28515625" style="5" customWidth="1"/>
    <col min="11783" max="11783" width="11.42578125" style="5"/>
    <col min="11784" max="11784" width="10.28515625" style="5" customWidth="1"/>
    <col min="11785" max="11785" width="11.42578125" style="5"/>
    <col min="11786" max="11786" width="8.140625" style="5" customWidth="1"/>
    <col min="11787" max="11795" width="11.42578125" style="5"/>
    <col min="11796" max="11796" width="15.85546875" style="5" bestFit="1" customWidth="1"/>
    <col min="11797" max="12032" width="11.42578125" style="5"/>
    <col min="12033" max="12033" width="29.85546875" style="5" customWidth="1"/>
    <col min="12034" max="12034" width="11.5703125" style="5" customWidth="1"/>
    <col min="12035" max="12035" width="0" style="5" hidden="1" customWidth="1"/>
    <col min="12036" max="12036" width="10.5703125" style="5" customWidth="1"/>
    <col min="12037" max="12037" width="9.7109375" style="5" customWidth="1"/>
    <col min="12038" max="12038" width="9.28515625" style="5" customWidth="1"/>
    <col min="12039" max="12039" width="11.42578125" style="5"/>
    <col min="12040" max="12040" width="10.28515625" style="5" customWidth="1"/>
    <col min="12041" max="12041" width="11.42578125" style="5"/>
    <col min="12042" max="12042" width="8.140625" style="5" customWidth="1"/>
    <col min="12043" max="12051" width="11.42578125" style="5"/>
    <col min="12052" max="12052" width="15.85546875" style="5" bestFit="1" customWidth="1"/>
    <col min="12053" max="12288" width="11.42578125" style="5"/>
    <col min="12289" max="12289" width="29.85546875" style="5" customWidth="1"/>
    <col min="12290" max="12290" width="11.5703125" style="5" customWidth="1"/>
    <col min="12291" max="12291" width="0" style="5" hidden="1" customWidth="1"/>
    <col min="12292" max="12292" width="10.5703125" style="5" customWidth="1"/>
    <col min="12293" max="12293" width="9.7109375" style="5" customWidth="1"/>
    <col min="12294" max="12294" width="9.28515625" style="5" customWidth="1"/>
    <col min="12295" max="12295" width="11.42578125" style="5"/>
    <col min="12296" max="12296" width="10.28515625" style="5" customWidth="1"/>
    <col min="12297" max="12297" width="11.42578125" style="5"/>
    <col min="12298" max="12298" width="8.140625" style="5" customWidth="1"/>
    <col min="12299" max="12307" width="11.42578125" style="5"/>
    <col min="12308" max="12308" width="15.85546875" style="5" bestFit="1" customWidth="1"/>
    <col min="12309" max="12544" width="11.42578125" style="5"/>
    <col min="12545" max="12545" width="29.85546875" style="5" customWidth="1"/>
    <col min="12546" max="12546" width="11.5703125" style="5" customWidth="1"/>
    <col min="12547" max="12547" width="0" style="5" hidden="1" customWidth="1"/>
    <col min="12548" max="12548" width="10.5703125" style="5" customWidth="1"/>
    <col min="12549" max="12549" width="9.7109375" style="5" customWidth="1"/>
    <col min="12550" max="12550" width="9.28515625" style="5" customWidth="1"/>
    <col min="12551" max="12551" width="11.42578125" style="5"/>
    <col min="12552" max="12552" width="10.28515625" style="5" customWidth="1"/>
    <col min="12553" max="12553" width="11.42578125" style="5"/>
    <col min="12554" max="12554" width="8.140625" style="5" customWidth="1"/>
    <col min="12555" max="12563" width="11.42578125" style="5"/>
    <col min="12564" max="12564" width="15.85546875" style="5" bestFit="1" customWidth="1"/>
    <col min="12565" max="12800" width="11.42578125" style="5"/>
    <col min="12801" max="12801" width="29.85546875" style="5" customWidth="1"/>
    <col min="12802" max="12802" width="11.5703125" style="5" customWidth="1"/>
    <col min="12803" max="12803" width="0" style="5" hidden="1" customWidth="1"/>
    <col min="12804" max="12804" width="10.5703125" style="5" customWidth="1"/>
    <col min="12805" max="12805" width="9.7109375" style="5" customWidth="1"/>
    <col min="12806" max="12806" width="9.28515625" style="5" customWidth="1"/>
    <col min="12807" max="12807" width="11.42578125" style="5"/>
    <col min="12808" max="12808" width="10.28515625" style="5" customWidth="1"/>
    <col min="12809" max="12809" width="11.42578125" style="5"/>
    <col min="12810" max="12810" width="8.140625" style="5" customWidth="1"/>
    <col min="12811" max="12819" width="11.42578125" style="5"/>
    <col min="12820" max="12820" width="15.85546875" style="5" bestFit="1" customWidth="1"/>
    <col min="12821" max="13056" width="11.42578125" style="5"/>
    <col min="13057" max="13057" width="29.85546875" style="5" customWidth="1"/>
    <col min="13058" max="13058" width="11.5703125" style="5" customWidth="1"/>
    <col min="13059" max="13059" width="0" style="5" hidden="1" customWidth="1"/>
    <col min="13060" max="13060" width="10.5703125" style="5" customWidth="1"/>
    <col min="13061" max="13061" width="9.7109375" style="5" customWidth="1"/>
    <col min="13062" max="13062" width="9.28515625" style="5" customWidth="1"/>
    <col min="13063" max="13063" width="11.42578125" style="5"/>
    <col min="13064" max="13064" width="10.28515625" style="5" customWidth="1"/>
    <col min="13065" max="13065" width="11.42578125" style="5"/>
    <col min="13066" max="13066" width="8.140625" style="5" customWidth="1"/>
    <col min="13067" max="13075" width="11.42578125" style="5"/>
    <col min="13076" max="13076" width="15.85546875" style="5" bestFit="1" customWidth="1"/>
    <col min="13077" max="13312" width="11.42578125" style="5"/>
    <col min="13313" max="13313" width="29.85546875" style="5" customWidth="1"/>
    <col min="13314" max="13314" width="11.5703125" style="5" customWidth="1"/>
    <col min="13315" max="13315" width="0" style="5" hidden="1" customWidth="1"/>
    <col min="13316" max="13316" width="10.5703125" style="5" customWidth="1"/>
    <col min="13317" max="13317" width="9.7109375" style="5" customWidth="1"/>
    <col min="13318" max="13318" width="9.28515625" style="5" customWidth="1"/>
    <col min="13319" max="13319" width="11.42578125" style="5"/>
    <col min="13320" max="13320" width="10.28515625" style="5" customWidth="1"/>
    <col min="13321" max="13321" width="11.42578125" style="5"/>
    <col min="13322" max="13322" width="8.140625" style="5" customWidth="1"/>
    <col min="13323" max="13331" width="11.42578125" style="5"/>
    <col min="13332" max="13332" width="15.85546875" style="5" bestFit="1" customWidth="1"/>
    <col min="13333" max="13568" width="11.42578125" style="5"/>
    <col min="13569" max="13569" width="29.85546875" style="5" customWidth="1"/>
    <col min="13570" max="13570" width="11.5703125" style="5" customWidth="1"/>
    <col min="13571" max="13571" width="0" style="5" hidden="1" customWidth="1"/>
    <col min="13572" max="13572" width="10.5703125" style="5" customWidth="1"/>
    <col min="13573" max="13573" width="9.7109375" style="5" customWidth="1"/>
    <col min="13574" max="13574" width="9.28515625" style="5" customWidth="1"/>
    <col min="13575" max="13575" width="11.42578125" style="5"/>
    <col min="13576" max="13576" width="10.28515625" style="5" customWidth="1"/>
    <col min="13577" max="13577" width="11.42578125" style="5"/>
    <col min="13578" max="13578" width="8.140625" style="5" customWidth="1"/>
    <col min="13579" max="13587" width="11.42578125" style="5"/>
    <col min="13588" max="13588" width="15.85546875" style="5" bestFit="1" customWidth="1"/>
    <col min="13589" max="13824" width="11.42578125" style="5"/>
    <col min="13825" max="13825" width="29.85546875" style="5" customWidth="1"/>
    <col min="13826" max="13826" width="11.5703125" style="5" customWidth="1"/>
    <col min="13827" max="13827" width="0" style="5" hidden="1" customWidth="1"/>
    <col min="13828" max="13828" width="10.5703125" style="5" customWidth="1"/>
    <col min="13829" max="13829" width="9.7109375" style="5" customWidth="1"/>
    <col min="13830" max="13830" width="9.28515625" style="5" customWidth="1"/>
    <col min="13831" max="13831" width="11.42578125" style="5"/>
    <col min="13832" max="13832" width="10.28515625" style="5" customWidth="1"/>
    <col min="13833" max="13833" width="11.42578125" style="5"/>
    <col min="13834" max="13834" width="8.140625" style="5" customWidth="1"/>
    <col min="13835" max="13843" width="11.42578125" style="5"/>
    <col min="13844" max="13844" width="15.85546875" style="5" bestFit="1" customWidth="1"/>
    <col min="13845" max="14080" width="11.42578125" style="5"/>
    <col min="14081" max="14081" width="29.85546875" style="5" customWidth="1"/>
    <col min="14082" max="14082" width="11.5703125" style="5" customWidth="1"/>
    <col min="14083" max="14083" width="0" style="5" hidden="1" customWidth="1"/>
    <col min="14084" max="14084" width="10.5703125" style="5" customWidth="1"/>
    <col min="14085" max="14085" width="9.7109375" style="5" customWidth="1"/>
    <col min="14086" max="14086" width="9.28515625" style="5" customWidth="1"/>
    <col min="14087" max="14087" width="11.42578125" style="5"/>
    <col min="14088" max="14088" width="10.28515625" style="5" customWidth="1"/>
    <col min="14089" max="14089" width="11.42578125" style="5"/>
    <col min="14090" max="14090" width="8.140625" style="5" customWidth="1"/>
    <col min="14091" max="14099" width="11.42578125" style="5"/>
    <col min="14100" max="14100" width="15.85546875" style="5" bestFit="1" customWidth="1"/>
    <col min="14101" max="14336" width="11.42578125" style="5"/>
    <col min="14337" max="14337" width="29.85546875" style="5" customWidth="1"/>
    <col min="14338" max="14338" width="11.5703125" style="5" customWidth="1"/>
    <col min="14339" max="14339" width="0" style="5" hidden="1" customWidth="1"/>
    <col min="14340" max="14340" width="10.5703125" style="5" customWidth="1"/>
    <col min="14341" max="14341" width="9.7109375" style="5" customWidth="1"/>
    <col min="14342" max="14342" width="9.28515625" style="5" customWidth="1"/>
    <col min="14343" max="14343" width="11.42578125" style="5"/>
    <col min="14344" max="14344" width="10.28515625" style="5" customWidth="1"/>
    <col min="14345" max="14345" width="11.42578125" style="5"/>
    <col min="14346" max="14346" width="8.140625" style="5" customWidth="1"/>
    <col min="14347" max="14355" width="11.42578125" style="5"/>
    <col min="14356" max="14356" width="15.85546875" style="5" bestFit="1" customWidth="1"/>
    <col min="14357" max="14592" width="11.42578125" style="5"/>
    <col min="14593" max="14593" width="29.85546875" style="5" customWidth="1"/>
    <col min="14594" max="14594" width="11.5703125" style="5" customWidth="1"/>
    <col min="14595" max="14595" width="0" style="5" hidden="1" customWidth="1"/>
    <col min="14596" max="14596" width="10.5703125" style="5" customWidth="1"/>
    <col min="14597" max="14597" width="9.7109375" style="5" customWidth="1"/>
    <col min="14598" max="14598" width="9.28515625" style="5" customWidth="1"/>
    <col min="14599" max="14599" width="11.42578125" style="5"/>
    <col min="14600" max="14600" width="10.28515625" style="5" customWidth="1"/>
    <col min="14601" max="14601" width="11.42578125" style="5"/>
    <col min="14602" max="14602" width="8.140625" style="5" customWidth="1"/>
    <col min="14603" max="14611" width="11.42578125" style="5"/>
    <col min="14612" max="14612" width="15.85546875" style="5" bestFit="1" customWidth="1"/>
    <col min="14613" max="14848" width="11.42578125" style="5"/>
    <col min="14849" max="14849" width="29.85546875" style="5" customWidth="1"/>
    <col min="14850" max="14850" width="11.5703125" style="5" customWidth="1"/>
    <col min="14851" max="14851" width="0" style="5" hidden="1" customWidth="1"/>
    <col min="14852" max="14852" width="10.5703125" style="5" customWidth="1"/>
    <col min="14853" max="14853" width="9.7109375" style="5" customWidth="1"/>
    <col min="14854" max="14854" width="9.28515625" style="5" customWidth="1"/>
    <col min="14855" max="14855" width="11.42578125" style="5"/>
    <col min="14856" max="14856" width="10.28515625" style="5" customWidth="1"/>
    <col min="14857" max="14857" width="11.42578125" style="5"/>
    <col min="14858" max="14858" width="8.140625" style="5" customWidth="1"/>
    <col min="14859" max="14867" width="11.42578125" style="5"/>
    <col min="14868" max="14868" width="15.85546875" style="5" bestFit="1" customWidth="1"/>
    <col min="14869" max="15104" width="11.42578125" style="5"/>
    <col min="15105" max="15105" width="29.85546875" style="5" customWidth="1"/>
    <col min="15106" max="15106" width="11.5703125" style="5" customWidth="1"/>
    <col min="15107" max="15107" width="0" style="5" hidden="1" customWidth="1"/>
    <col min="15108" max="15108" width="10.5703125" style="5" customWidth="1"/>
    <col min="15109" max="15109" width="9.7109375" style="5" customWidth="1"/>
    <col min="15110" max="15110" width="9.28515625" style="5" customWidth="1"/>
    <col min="15111" max="15111" width="11.42578125" style="5"/>
    <col min="15112" max="15112" width="10.28515625" style="5" customWidth="1"/>
    <col min="15113" max="15113" width="11.42578125" style="5"/>
    <col min="15114" max="15114" width="8.140625" style="5" customWidth="1"/>
    <col min="15115" max="15123" width="11.42578125" style="5"/>
    <col min="15124" max="15124" width="15.85546875" style="5" bestFit="1" customWidth="1"/>
    <col min="15125" max="15360" width="11.42578125" style="5"/>
    <col min="15361" max="15361" width="29.85546875" style="5" customWidth="1"/>
    <col min="15362" max="15362" width="11.5703125" style="5" customWidth="1"/>
    <col min="15363" max="15363" width="0" style="5" hidden="1" customWidth="1"/>
    <col min="15364" max="15364" width="10.5703125" style="5" customWidth="1"/>
    <col min="15365" max="15365" width="9.7109375" style="5" customWidth="1"/>
    <col min="15366" max="15366" width="9.28515625" style="5" customWidth="1"/>
    <col min="15367" max="15367" width="11.42578125" style="5"/>
    <col min="15368" max="15368" width="10.28515625" style="5" customWidth="1"/>
    <col min="15369" max="15369" width="11.42578125" style="5"/>
    <col min="15370" max="15370" width="8.140625" style="5" customWidth="1"/>
    <col min="15371" max="15379" width="11.42578125" style="5"/>
    <col min="15380" max="15380" width="15.85546875" style="5" bestFit="1" customWidth="1"/>
    <col min="15381" max="15616" width="11.42578125" style="5"/>
    <col min="15617" max="15617" width="29.85546875" style="5" customWidth="1"/>
    <col min="15618" max="15618" width="11.5703125" style="5" customWidth="1"/>
    <col min="15619" max="15619" width="0" style="5" hidden="1" customWidth="1"/>
    <col min="15620" max="15620" width="10.5703125" style="5" customWidth="1"/>
    <col min="15621" max="15621" width="9.7109375" style="5" customWidth="1"/>
    <col min="15622" max="15622" width="9.28515625" style="5" customWidth="1"/>
    <col min="15623" max="15623" width="11.42578125" style="5"/>
    <col min="15624" max="15624" width="10.28515625" style="5" customWidth="1"/>
    <col min="15625" max="15625" width="11.42578125" style="5"/>
    <col min="15626" max="15626" width="8.140625" style="5" customWidth="1"/>
    <col min="15627" max="15635" width="11.42578125" style="5"/>
    <col min="15636" max="15636" width="15.85546875" style="5" bestFit="1" customWidth="1"/>
    <col min="15637" max="15872" width="11.42578125" style="5"/>
    <col min="15873" max="15873" width="29.85546875" style="5" customWidth="1"/>
    <col min="15874" max="15874" width="11.5703125" style="5" customWidth="1"/>
    <col min="15875" max="15875" width="0" style="5" hidden="1" customWidth="1"/>
    <col min="15876" max="15876" width="10.5703125" style="5" customWidth="1"/>
    <col min="15877" max="15877" width="9.7109375" style="5" customWidth="1"/>
    <col min="15878" max="15878" width="9.28515625" style="5" customWidth="1"/>
    <col min="15879" max="15879" width="11.42578125" style="5"/>
    <col min="15880" max="15880" width="10.28515625" style="5" customWidth="1"/>
    <col min="15881" max="15881" width="11.42578125" style="5"/>
    <col min="15882" max="15882" width="8.140625" style="5" customWidth="1"/>
    <col min="15883" max="15891" width="11.42578125" style="5"/>
    <col min="15892" max="15892" width="15.85546875" style="5" bestFit="1" customWidth="1"/>
    <col min="15893" max="16128" width="11.42578125" style="5"/>
    <col min="16129" max="16129" width="29.85546875" style="5" customWidth="1"/>
    <col min="16130" max="16130" width="11.5703125" style="5" customWidth="1"/>
    <col min="16131" max="16131" width="0" style="5" hidden="1" customWidth="1"/>
    <col min="16132" max="16132" width="10.5703125" style="5" customWidth="1"/>
    <col min="16133" max="16133" width="9.7109375" style="5" customWidth="1"/>
    <col min="16134" max="16134" width="9.28515625" style="5" customWidth="1"/>
    <col min="16135" max="16135" width="11.42578125" style="5"/>
    <col min="16136" max="16136" width="10.28515625" style="5" customWidth="1"/>
    <col min="16137" max="16137" width="11.42578125" style="5"/>
    <col min="16138" max="16138" width="8.140625" style="5" customWidth="1"/>
    <col min="16139" max="16147" width="11.42578125" style="5"/>
    <col min="16148" max="16148" width="15.85546875" style="5" bestFit="1" customWidth="1"/>
    <col min="16149" max="16384" width="11.42578125" style="5"/>
  </cols>
  <sheetData>
    <row r="1" spans="1:24" ht="12.75" customHeight="1" x14ac:dyDescent="0.2">
      <c r="A1" s="1" t="s">
        <v>0</v>
      </c>
      <c r="B1" s="2"/>
      <c r="C1" s="2" t="s">
        <v>1</v>
      </c>
      <c r="D1" s="3" t="s">
        <v>2</v>
      </c>
      <c r="E1" s="3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5">
        <v>2019</v>
      </c>
    </row>
    <row r="2" spans="1:24" ht="26.25" customHeight="1" x14ac:dyDescent="0.2">
      <c r="A2" s="1"/>
      <c r="B2" s="6" t="s">
        <v>8</v>
      </c>
      <c r="C2" s="6"/>
      <c r="D2" s="3"/>
      <c r="E2" s="3"/>
      <c r="F2" s="7" t="s">
        <v>9</v>
      </c>
      <c r="G2" s="7" t="s">
        <v>10</v>
      </c>
      <c r="H2" s="7" t="s">
        <v>11</v>
      </c>
      <c r="I2" s="7" t="s">
        <v>11</v>
      </c>
      <c r="J2" s="8" t="s">
        <v>12</v>
      </c>
      <c r="L2" s="8" t="s">
        <v>13</v>
      </c>
      <c r="U2" t="s">
        <v>14</v>
      </c>
    </row>
    <row r="3" spans="1:24" x14ac:dyDescent="0.2">
      <c r="A3" s="9" t="s">
        <v>15</v>
      </c>
      <c r="B3" s="10">
        <v>8200</v>
      </c>
      <c r="C3" s="11">
        <v>16</v>
      </c>
      <c r="D3" s="12">
        <f>10+3+4</f>
        <v>17</v>
      </c>
      <c r="E3" s="13">
        <f>1+1+1+1+1</f>
        <v>5</v>
      </c>
      <c r="F3" s="13">
        <v>2</v>
      </c>
      <c r="G3" s="13">
        <f>1+1+1</f>
        <v>3</v>
      </c>
      <c r="H3" s="13">
        <f>1+1+1+1</f>
        <v>4</v>
      </c>
      <c r="I3" s="14">
        <f>1+1+1</f>
        <v>3</v>
      </c>
      <c r="J3" s="15">
        <f t="shared" ref="J3:J28" si="0">SUM(E3:I3)</f>
        <v>17</v>
      </c>
      <c r="K3" s="16">
        <f t="shared" ref="K3:K28" si="1">+J3</f>
        <v>17</v>
      </c>
      <c r="L3" s="17">
        <f>+K3/'[1]2019'!J3</f>
        <v>1</v>
      </c>
      <c r="Q3" s="18">
        <f t="shared" ref="Q3:Q27" si="2">+IF(J3=0,B3,B3/K3)</f>
        <v>482.35294117647061</v>
      </c>
      <c r="U3" s="5">
        <v>1999</v>
      </c>
      <c r="V3" s="5">
        <v>35</v>
      </c>
    </row>
    <row r="4" spans="1:24" x14ac:dyDescent="0.2">
      <c r="A4" s="9" t="s">
        <v>16</v>
      </c>
      <c r="B4" s="10">
        <v>2669</v>
      </c>
      <c r="C4" s="11">
        <v>2</v>
      </c>
      <c r="D4" s="19">
        <v>1</v>
      </c>
      <c r="E4" s="13"/>
      <c r="F4" s="13"/>
      <c r="G4" s="13"/>
      <c r="H4" s="14"/>
      <c r="I4" s="13"/>
      <c r="J4" s="15">
        <f t="shared" si="0"/>
        <v>0</v>
      </c>
      <c r="K4" s="16">
        <f t="shared" si="1"/>
        <v>0</v>
      </c>
      <c r="L4" s="20">
        <f>+K4/'[1]2019'!J4</f>
        <v>0</v>
      </c>
      <c r="Q4" s="18">
        <f t="shared" si="2"/>
        <v>2669</v>
      </c>
      <c r="U4" s="5">
        <v>2000</v>
      </c>
      <c r="V4" s="5">
        <v>36</v>
      </c>
    </row>
    <row r="5" spans="1:24" x14ac:dyDescent="0.2">
      <c r="A5" s="9" t="s">
        <v>17</v>
      </c>
      <c r="B5" s="10">
        <v>2100</v>
      </c>
      <c r="C5" s="11">
        <v>4</v>
      </c>
      <c r="D5" s="12">
        <f>2+2</f>
        <v>4</v>
      </c>
      <c r="E5" s="13">
        <v>1</v>
      </c>
      <c r="F5" s="21"/>
      <c r="G5" s="13">
        <v>1</v>
      </c>
      <c r="H5" s="13">
        <v>1</v>
      </c>
      <c r="I5" s="14">
        <v>1</v>
      </c>
      <c r="J5" s="15">
        <f t="shared" si="0"/>
        <v>4</v>
      </c>
      <c r="K5" s="16">
        <f t="shared" si="1"/>
        <v>4</v>
      </c>
      <c r="L5" s="17">
        <f>+K5/'[1]2019'!J5</f>
        <v>1</v>
      </c>
      <c r="Q5" s="18">
        <f t="shared" si="2"/>
        <v>525</v>
      </c>
      <c r="U5">
        <v>2001</v>
      </c>
      <c r="V5">
        <v>57</v>
      </c>
    </row>
    <row r="6" spans="1:24" x14ac:dyDescent="0.2">
      <c r="A6" s="9" t="s">
        <v>18</v>
      </c>
      <c r="B6" s="10">
        <v>3650</v>
      </c>
      <c r="C6" s="11">
        <v>6</v>
      </c>
      <c r="D6" s="19">
        <v>4</v>
      </c>
      <c r="E6" s="22">
        <v>1</v>
      </c>
      <c r="F6" s="13"/>
      <c r="G6" s="13">
        <f>1+1</f>
        <v>2</v>
      </c>
      <c r="H6" s="13"/>
      <c r="I6" s="21">
        <v>1</v>
      </c>
      <c r="J6" s="15">
        <f t="shared" si="0"/>
        <v>4</v>
      </c>
      <c r="K6" s="16">
        <f t="shared" si="1"/>
        <v>4</v>
      </c>
      <c r="L6" s="17">
        <f>+K6/'[1]2019'!J6</f>
        <v>1</v>
      </c>
      <c r="Q6" s="18">
        <f t="shared" si="2"/>
        <v>912.5</v>
      </c>
      <c r="U6">
        <v>2002</v>
      </c>
      <c r="V6">
        <v>56</v>
      </c>
    </row>
    <row r="7" spans="1:24" x14ac:dyDescent="0.2">
      <c r="A7" s="9" t="s">
        <v>19</v>
      </c>
      <c r="B7" s="10">
        <v>4600</v>
      </c>
      <c r="C7" s="23">
        <v>5</v>
      </c>
      <c r="D7" s="19">
        <v>4</v>
      </c>
      <c r="E7" s="13"/>
      <c r="F7" s="13"/>
      <c r="G7" s="13">
        <v>1</v>
      </c>
      <c r="H7" s="13"/>
      <c r="I7" s="24"/>
      <c r="J7" s="15">
        <f t="shared" si="0"/>
        <v>1</v>
      </c>
      <c r="K7" s="16">
        <f t="shared" si="1"/>
        <v>1</v>
      </c>
      <c r="L7" s="20">
        <f>+K7/'[1]2019'!J7</f>
        <v>0.25</v>
      </c>
      <c r="Q7" s="18">
        <f t="shared" si="2"/>
        <v>4600</v>
      </c>
      <c r="U7">
        <v>2003</v>
      </c>
      <c r="V7">
        <v>39</v>
      </c>
    </row>
    <row r="8" spans="1:24" x14ac:dyDescent="0.2">
      <c r="A8" s="9" t="s">
        <v>20</v>
      </c>
      <c r="B8" s="10">
        <f>285+401+388</f>
        <v>1074</v>
      </c>
      <c r="C8" s="11">
        <v>2</v>
      </c>
      <c r="D8" s="12">
        <f>1+1</f>
        <v>2</v>
      </c>
      <c r="E8" s="21"/>
      <c r="F8" s="13"/>
      <c r="G8" s="13"/>
      <c r="H8" s="21"/>
      <c r="I8" s="13">
        <v>1</v>
      </c>
      <c r="J8" s="15">
        <f t="shared" si="0"/>
        <v>1</v>
      </c>
      <c r="K8" s="16">
        <f t="shared" si="1"/>
        <v>1</v>
      </c>
      <c r="L8" s="17">
        <f>+K8/'[1]2019'!J8</f>
        <v>0.5</v>
      </c>
      <c r="Q8" s="18">
        <f t="shared" si="2"/>
        <v>1074</v>
      </c>
      <c r="U8">
        <v>2004</v>
      </c>
      <c r="V8">
        <v>54</v>
      </c>
    </row>
    <row r="9" spans="1:24" x14ac:dyDescent="0.2">
      <c r="A9" s="9" t="s">
        <v>21</v>
      </c>
      <c r="B9" s="10">
        <f>200+300+155+150+200+393+75+75</f>
        <v>1548</v>
      </c>
      <c r="C9" s="11">
        <v>3</v>
      </c>
      <c r="D9" s="19">
        <v>1</v>
      </c>
      <c r="E9" s="13"/>
      <c r="F9" s="13"/>
      <c r="G9" s="21"/>
      <c r="H9" s="13"/>
      <c r="I9" s="14"/>
      <c r="J9" s="15">
        <f t="shared" si="0"/>
        <v>0</v>
      </c>
      <c r="K9" s="16">
        <f t="shared" si="1"/>
        <v>0</v>
      </c>
      <c r="L9" s="20">
        <f>+K9/'[1]2019'!J9</f>
        <v>0</v>
      </c>
      <c r="Q9" s="18">
        <f t="shared" si="2"/>
        <v>1548</v>
      </c>
      <c r="U9">
        <v>2005</v>
      </c>
      <c r="V9">
        <v>48</v>
      </c>
      <c r="X9" s="25">
        <f>+W12/7</f>
        <v>70.714285714285708</v>
      </c>
    </row>
    <row r="10" spans="1:24" x14ac:dyDescent="0.2">
      <c r="A10" s="9" t="s">
        <v>22</v>
      </c>
      <c r="B10" s="10">
        <v>1098.9000000000001</v>
      </c>
      <c r="C10" s="11">
        <v>2</v>
      </c>
      <c r="D10" s="19">
        <v>1</v>
      </c>
      <c r="E10" s="13"/>
      <c r="F10" s="21"/>
      <c r="G10" s="21"/>
      <c r="H10" s="13"/>
      <c r="I10" s="21"/>
      <c r="J10" s="15">
        <f t="shared" si="0"/>
        <v>0</v>
      </c>
      <c r="K10" s="16">
        <f t="shared" si="1"/>
        <v>0</v>
      </c>
      <c r="L10" s="20">
        <f>+K10/'[1]2019'!J10</f>
        <v>0</v>
      </c>
      <c r="Q10" s="18">
        <f t="shared" si="2"/>
        <v>1098.9000000000001</v>
      </c>
      <c r="U10">
        <v>2006</v>
      </c>
      <c r="V10">
        <v>57</v>
      </c>
    </row>
    <row r="11" spans="1:24" x14ac:dyDescent="0.2">
      <c r="A11" s="9" t="s">
        <v>23</v>
      </c>
      <c r="B11" s="10">
        <v>1270</v>
      </c>
      <c r="C11" s="11">
        <v>2</v>
      </c>
      <c r="D11" s="12">
        <f>2+2</f>
        <v>4</v>
      </c>
      <c r="E11" s="13">
        <v>1</v>
      </c>
      <c r="F11" s="21"/>
      <c r="G11" s="13"/>
      <c r="H11" s="13">
        <v>1</v>
      </c>
      <c r="I11" s="13"/>
      <c r="J11" s="15">
        <f t="shared" si="0"/>
        <v>2</v>
      </c>
      <c r="K11" s="16">
        <f t="shared" si="1"/>
        <v>2</v>
      </c>
      <c r="L11" s="26">
        <f>+K11/'[1]2019'!J11</f>
        <v>0.5</v>
      </c>
      <c r="Q11" s="18">
        <f t="shared" si="2"/>
        <v>635</v>
      </c>
      <c r="U11">
        <v>2007</v>
      </c>
      <c r="V11">
        <v>56</v>
      </c>
    </row>
    <row r="12" spans="1:24" x14ac:dyDescent="0.2">
      <c r="A12" s="9" t="s">
        <v>24</v>
      </c>
      <c r="B12" s="10">
        <f>26+196+15+188+10+410+360+170+1600</f>
        <v>2975</v>
      </c>
      <c r="C12" s="11">
        <v>5</v>
      </c>
      <c r="D12" s="12">
        <f>3+1+2</f>
        <v>6</v>
      </c>
      <c r="E12" s="24">
        <v>1</v>
      </c>
      <c r="F12" s="13">
        <v>1</v>
      </c>
      <c r="G12" s="13"/>
      <c r="H12" s="13">
        <v>1</v>
      </c>
      <c r="I12" s="13">
        <v>1</v>
      </c>
      <c r="J12" s="15">
        <f t="shared" si="0"/>
        <v>4</v>
      </c>
      <c r="K12" s="16">
        <f t="shared" si="1"/>
        <v>4</v>
      </c>
      <c r="L12" s="17">
        <f>+K12/'[1]2019'!J12</f>
        <v>0.66666666666666663</v>
      </c>
      <c r="Q12" s="18">
        <f t="shared" si="2"/>
        <v>743.75</v>
      </c>
      <c r="U12">
        <v>2008</v>
      </c>
      <c r="V12">
        <v>57</v>
      </c>
      <c r="W12" s="5">
        <f>SUM(V3:V12)</f>
        <v>495</v>
      </c>
    </row>
    <row r="13" spans="1:24" x14ac:dyDescent="0.2">
      <c r="A13" s="9" t="s">
        <v>25</v>
      </c>
      <c r="B13" s="10">
        <v>2077</v>
      </c>
      <c r="C13" s="11">
        <v>3</v>
      </c>
      <c r="D13" s="12">
        <f>2+2</f>
        <v>4</v>
      </c>
      <c r="E13" s="13">
        <v>1</v>
      </c>
      <c r="F13" s="13">
        <v>1</v>
      </c>
      <c r="G13" s="13">
        <v>1</v>
      </c>
      <c r="H13" s="24">
        <v>1</v>
      </c>
      <c r="I13" s="21"/>
      <c r="J13" s="15">
        <f t="shared" si="0"/>
        <v>4</v>
      </c>
      <c r="K13" s="16">
        <f t="shared" si="1"/>
        <v>4</v>
      </c>
      <c r="L13" s="17">
        <f>+K13/'[1]2019'!J13</f>
        <v>1</v>
      </c>
      <c r="Q13" s="18">
        <f t="shared" si="2"/>
        <v>519.25</v>
      </c>
      <c r="U13">
        <v>2009</v>
      </c>
      <c r="V13">
        <v>53</v>
      </c>
    </row>
    <row r="14" spans="1:24" x14ac:dyDescent="0.2">
      <c r="A14" s="9" t="s">
        <v>26</v>
      </c>
      <c r="B14" s="10">
        <v>3998</v>
      </c>
      <c r="C14" s="11">
        <v>4</v>
      </c>
      <c r="D14" s="12">
        <f>3+2</f>
        <v>5</v>
      </c>
      <c r="E14" s="13">
        <v>1</v>
      </c>
      <c r="F14" s="13">
        <v>1</v>
      </c>
      <c r="G14" s="13"/>
      <c r="H14" s="13">
        <v>1</v>
      </c>
      <c r="I14" s="27">
        <f>1</f>
        <v>1</v>
      </c>
      <c r="J14" s="15">
        <f t="shared" si="0"/>
        <v>4</v>
      </c>
      <c r="K14" s="16">
        <f t="shared" si="1"/>
        <v>4</v>
      </c>
      <c r="L14" s="17">
        <f>+K14/'[1]2019'!J14</f>
        <v>0.8</v>
      </c>
      <c r="Q14" s="18">
        <f t="shared" si="2"/>
        <v>999.5</v>
      </c>
      <c r="U14">
        <v>2010</v>
      </c>
      <c r="V14">
        <v>74</v>
      </c>
    </row>
    <row r="15" spans="1:24" x14ac:dyDescent="0.2">
      <c r="A15" s="9" t="s">
        <v>27</v>
      </c>
      <c r="B15" s="10">
        <v>1765</v>
      </c>
      <c r="C15" s="11">
        <v>3</v>
      </c>
      <c r="D15" s="12">
        <f>2+1</f>
        <v>3</v>
      </c>
      <c r="E15" s="13">
        <v>1</v>
      </c>
      <c r="F15" s="13"/>
      <c r="G15" s="13"/>
      <c r="H15" s="13">
        <v>1</v>
      </c>
      <c r="I15" s="21"/>
      <c r="J15" s="15">
        <f t="shared" si="0"/>
        <v>2</v>
      </c>
      <c r="K15" s="16">
        <f t="shared" si="1"/>
        <v>2</v>
      </c>
      <c r="L15" s="17">
        <f>+K15/'[1]2019'!J15</f>
        <v>0.66666666666666663</v>
      </c>
      <c r="Q15" s="18">
        <f t="shared" si="2"/>
        <v>882.5</v>
      </c>
      <c r="U15">
        <v>2011</v>
      </c>
      <c r="V15">
        <v>61</v>
      </c>
    </row>
    <row r="16" spans="1:24" x14ac:dyDescent="0.2">
      <c r="A16" s="9" t="s">
        <v>28</v>
      </c>
      <c r="B16" s="10">
        <v>3600</v>
      </c>
      <c r="C16" s="11">
        <v>1</v>
      </c>
      <c r="D16" s="19">
        <v>2</v>
      </c>
      <c r="E16" s="13"/>
      <c r="F16" s="13"/>
      <c r="G16" s="13">
        <v>1</v>
      </c>
      <c r="H16" s="21"/>
      <c r="I16" s="13"/>
      <c r="J16" s="15">
        <f t="shared" si="0"/>
        <v>1</v>
      </c>
      <c r="K16" s="16">
        <f t="shared" si="1"/>
        <v>1</v>
      </c>
      <c r="L16" s="20">
        <f>+K16/'[1]2019'!J16</f>
        <v>0.5</v>
      </c>
      <c r="Q16" s="18">
        <f t="shared" si="2"/>
        <v>3600</v>
      </c>
      <c r="U16">
        <v>2012</v>
      </c>
      <c r="V16">
        <v>57</v>
      </c>
    </row>
    <row r="17" spans="1:25" x14ac:dyDescent="0.2">
      <c r="A17" s="9" t="s">
        <v>29</v>
      </c>
      <c r="B17" s="10">
        <v>5890</v>
      </c>
      <c r="C17" s="11">
        <v>3</v>
      </c>
      <c r="D17" s="12">
        <f>4+1</f>
        <v>5</v>
      </c>
      <c r="E17" s="24">
        <f>1+1</f>
        <v>2</v>
      </c>
      <c r="F17" s="13">
        <v>1</v>
      </c>
      <c r="G17" s="13">
        <v>1</v>
      </c>
      <c r="H17" s="13">
        <v>1</v>
      </c>
      <c r="I17" s="21"/>
      <c r="J17" s="15">
        <f t="shared" si="0"/>
        <v>5</v>
      </c>
      <c r="K17" s="16">
        <f t="shared" si="1"/>
        <v>5</v>
      </c>
      <c r="L17" s="17">
        <f>+K17/'[1]2019'!J17</f>
        <v>1</v>
      </c>
      <c r="Q17" s="18">
        <f t="shared" si="2"/>
        <v>1178</v>
      </c>
      <c r="U17">
        <v>2013</v>
      </c>
      <c r="V17">
        <v>57</v>
      </c>
    </row>
    <row r="18" spans="1:25" x14ac:dyDescent="0.2">
      <c r="A18" s="9" t="s">
        <v>30</v>
      </c>
      <c r="B18" s="10">
        <v>13250.2</v>
      </c>
      <c r="C18" s="11">
        <v>3</v>
      </c>
      <c r="D18" s="19">
        <v>4</v>
      </c>
      <c r="E18" s="21"/>
      <c r="F18" s="13"/>
      <c r="G18" s="13"/>
      <c r="H18" s="21"/>
      <c r="I18" s="13"/>
      <c r="J18" s="15">
        <f t="shared" si="0"/>
        <v>0</v>
      </c>
      <c r="K18" s="16">
        <f t="shared" si="1"/>
        <v>0</v>
      </c>
      <c r="L18" s="20">
        <f>+K18/'[1]2019'!J18</f>
        <v>0</v>
      </c>
      <c r="Q18" s="18">
        <f t="shared" si="2"/>
        <v>13250.2</v>
      </c>
      <c r="U18">
        <v>2014</v>
      </c>
      <c r="V18">
        <v>63</v>
      </c>
    </row>
    <row r="19" spans="1:25" x14ac:dyDescent="0.2">
      <c r="A19" s="9" t="s">
        <v>31</v>
      </c>
      <c r="B19" s="10">
        <v>4077.1</v>
      </c>
      <c r="C19" s="11">
        <v>2</v>
      </c>
      <c r="D19" s="19">
        <v>2</v>
      </c>
      <c r="E19" s="13"/>
      <c r="F19" s="13">
        <v>1</v>
      </c>
      <c r="G19" s="13"/>
      <c r="H19" s="13"/>
      <c r="I19" s="13"/>
      <c r="J19" s="15">
        <f t="shared" si="0"/>
        <v>1</v>
      </c>
      <c r="K19" s="16">
        <f t="shared" si="1"/>
        <v>1</v>
      </c>
      <c r="L19" s="20">
        <f>+K19/'[1]2019'!J19</f>
        <v>0.5</v>
      </c>
      <c r="Q19" s="18">
        <f t="shared" si="2"/>
        <v>4077.1</v>
      </c>
      <c r="U19">
        <v>2015</v>
      </c>
      <c r="V19">
        <v>61</v>
      </c>
      <c r="X19" s="5">
        <f>+W22/10</f>
        <v>62.3</v>
      </c>
    </row>
    <row r="20" spans="1:25" x14ac:dyDescent="0.2">
      <c r="A20" s="9" t="s">
        <v>32</v>
      </c>
      <c r="B20" s="10">
        <v>1885.6</v>
      </c>
      <c r="C20" s="11">
        <v>2</v>
      </c>
      <c r="D20" s="19">
        <v>1</v>
      </c>
      <c r="E20" s="13"/>
      <c r="F20" s="13"/>
      <c r="G20" s="13"/>
      <c r="H20" s="13"/>
      <c r="I20" s="13"/>
      <c r="J20" s="15">
        <f t="shared" si="0"/>
        <v>0</v>
      </c>
      <c r="K20" s="16">
        <f t="shared" si="1"/>
        <v>0</v>
      </c>
      <c r="L20" s="20">
        <f>+K20/'[1]2019'!J20</f>
        <v>0</v>
      </c>
      <c r="Q20" s="18">
        <f t="shared" si="2"/>
        <v>1885.6</v>
      </c>
      <c r="U20">
        <v>2016</v>
      </c>
      <c r="V20">
        <v>68</v>
      </c>
      <c r="X20" s="25">
        <f>+X19-X9</f>
        <v>-8.414285714285711</v>
      </c>
      <c r="Y20" s="5">
        <f>100/X9*X20</f>
        <v>-11.898989898989896</v>
      </c>
    </row>
    <row r="21" spans="1:25" x14ac:dyDescent="0.2">
      <c r="A21" s="9" t="s">
        <v>33</v>
      </c>
      <c r="B21" s="10">
        <f>195+137+73+74+152+238+113+55+107+1150</f>
        <v>2294</v>
      </c>
      <c r="C21" s="11">
        <v>1</v>
      </c>
      <c r="D21" s="12">
        <f>2+1</f>
        <v>3</v>
      </c>
      <c r="E21" s="21"/>
      <c r="F21" s="21"/>
      <c r="G21" s="13">
        <v>1</v>
      </c>
      <c r="H21" s="13"/>
      <c r="I21" s="14">
        <v>1</v>
      </c>
      <c r="J21" s="15">
        <f t="shared" si="0"/>
        <v>2</v>
      </c>
      <c r="K21" s="16">
        <f t="shared" si="1"/>
        <v>2</v>
      </c>
      <c r="L21" s="17">
        <f>+K21/'[1]2019'!J21</f>
        <v>0.66666666666666663</v>
      </c>
      <c r="Q21" s="18">
        <f t="shared" si="2"/>
        <v>1147</v>
      </c>
      <c r="U21" s="5">
        <v>2017</v>
      </c>
      <c r="V21" s="5">
        <v>56</v>
      </c>
    </row>
    <row r="22" spans="1:25" x14ac:dyDescent="0.2">
      <c r="A22" s="9" t="s">
        <v>34</v>
      </c>
      <c r="B22" s="10">
        <v>2100</v>
      </c>
      <c r="C22" s="11">
        <v>1</v>
      </c>
      <c r="D22" s="19">
        <v>1</v>
      </c>
      <c r="E22" s="21"/>
      <c r="F22" s="13"/>
      <c r="G22" s="13"/>
      <c r="H22" s="13">
        <v>1</v>
      </c>
      <c r="I22" s="21"/>
      <c r="J22" s="15">
        <f t="shared" si="0"/>
        <v>1</v>
      </c>
      <c r="K22" s="16">
        <f t="shared" si="1"/>
        <v>1</v>
      </c>
      <c r="L22" s="17">
        <f>+K22/'[1]2019'!J22</f>
        <v>1</v>
      </c>
      <c r="Q22" s="18">
        <f t="shared" si="2"/>
        <v>2100</v>
      </c>
      <c r="U22">
        <v>2018</v>
      </c>
      <c r="V22">
        <v>73</v>
      </c>
      <c r="W22" s="5">
        <f>SUM(V13:V22)</f>
        <v>623</v>
      </c>
    </row>
    <row r="23" spans="1:25" x14ac:dyDescent="0.2">
      <c r="A23" s="9" t="s">
        <v>35</v>
      </c>
      <c r="B23" s="10">
        <f>3221+382</f>
        <v>3603</v>
      </c>
      <c r="C23" s="11">
        <v>2</v>
      </c>
      <c r="D23" s="19">
        <v>3</v>
      </c>
      <c r="E23" s="13"/>
      <c r="F23" s="21"/>
      <c r="G23" s="21"/>
      <c r="H23" s="21"/>
      <c r="I23" s="21"/>
      <c r="J23" s="15">
        <f t="shared" si="0"/>
        <v>0</v>
      </c>
      <c r="K23" s="16">
        <f t="shared" si="1"/>
        <v>0</v>
      </c>
      <c r="L23" s="20">
        <f>+K23/'[1]2019'!J23</f>
        <v>0</v>
      </c>
      <c r="Q23" s="18">
        <f t="shared" si="2"/>
        <v>3603</v>
      </c>
      <c r="U23" s="5">
        <v>2019</v>
      </c>
      <c r="V23" s="5">
        <f>+J29</f>
        <v>61</v>
      </c>
    </row>
    <row r="24" spans="1:25" x14ac:dyDescent="0.2">
      <c r="A24" s="9" t="s">
        <v>36</v>
      </c>
      <c r="B24" s="10">
        <v>1952</v>
      </c>
      <c r="C24" s="11">
        <v>1</v>
      </c>
      <c r="D24" s="19">
        <v>2</v>
      </c>
      <c r="E24" s="13"/>
      <c r="F24" s="28"/>
      <c r="G24" s="13"/>
      <c r="H24" s="13"/>
      <c r="I24" s="13"/>
      <c r="J24" s="15">
        <f t="shared" si="0"/>
        <v>0</v>
      </c>
      <c r="K24" s="16">
        <f t="shared" si="1"/>
        <v>0</v>
      </c>
      <c r="L24" s="20">
        <f>+K24/'[1]2019'!J24</f>
        <v>0</v>
      </c>
      <c r="Q24" s="18">
        <f t="shared" si="2"/>
        <v>1952</v>
      </c>
      <c r="W24" s="5">
        <f>+W22-W12</f>
        <v>128</v>
      </c>
    </row>
    <row r="25" spans="1:25" x14ac:dyDescent="0.2">
      <c r="A25" s="29" t="s">
        <v>37</v>
      </c>
      <c r="B25" s="10">
        <v>2050</v>
      </c>
      <c r="C25" s="30"/>
      <c r="D25" s="31">
        <f>2+1+2</f>
        <v>5</v>
      </c>
      <c r="E25" s="32"/>
      <c r="F25" s="33"/>
      <c r="G25" s="32">
        <v>1</v>
      </c>
      <c r="H25" s="33">
        <v>1</v>
      </c>
      <c r="I25" s="32">
        <v>1</v>
      </c>
      <c r="J25" s="15">
        <f t="shared" si="0"/>
        <v>3</v>
      </c>
      <c r="K25" s="16">
        <f t="shared" si="1"/>
        <v>3</v>
      </c>
      <c r="L25" s="17">
        <f>+K25/'[1]2019'!J25</f>
        <v>0.6</v>
      </c>
      <c r="Q25" s="18">
        <f t="shared" si="2"/>
        <v>683.33333333333337</v>
      </c>
      <c r="W25" s="5">
        <f>+W24/10</f>
        <v>12.8</v>
      </c>
    </row>
    <row r="26" spans="1:25" x14ac:dyDescent="0.2">
      <c r="A26" s="34" t="s">
        <v>38</v>
      </c>
      <c r="B26" s="10">
        <f>1874+160.8</f>
        <v>2034.8</v>
      </c>
      <c r="C26" s="35"/>
      <c r="D26" s="36">
        <f>2+2</f>
        <v>4</v>
      </c>
      <c r="E26" s="33">
        <v>1</v>
      </c>
      <c r="F26" s="33">
        <v>1</v>
      </c>
      <c r="G26" s="37"/>
      <c r="H26" s="38">
        <v>1</v>
      </c>
      <c r="I26" s="39">
        <v>1</v>
      </c>
      <c r="J26" s="15">
        <f t="shared" si="0"/>
        <v>4</v>
      </c>
      <c r="K26" s="16">
        <f t="shared" si="1"/>
        <v>4</v>
      </c>
      <c r="L26" s="17">
        <f>+K26/'[1]2019'!J26</f>
        <v>1</v>
      </c>
      <c r="Q26" s="18">
        <f t="shared" si="2"/>
        <v>508.7</v>
      </c>
    </row>
    <row r="27" spans="1:25" x14ac:dyDescent="0.2">
      <c r="A27" s="34" t="s">
        <v>39</v>
      </c>
      <c r="B27" s="10">
        <v>3182</v>
      </c>
      <c r="C27" s="35"/>
      <c r="D27" s="40">
        <v>2</v>
      </c>
      <c r="E27" s="33"/>
      <c r="F27" s="33"/>
      <c r="G27" s="37"/>
      <c r="H27" s="33"/>
      <c r="I27" s="33">
        <v>1</v>
      </c>
      <c r="J27" s="15">
        <f t="shared" si="0"/>
        <v>1</v>
      </c>
      <c r="K27" s="16">
        <f t="shared" si="1"/>
        <v>1</v>
      </c>
      <c r="L27" s="20">
        <f>+K27/'[1]2019'!J27</f>
        <v>0.5</v>
      </c>
      <c r="Q27" s="18">
        <f t="shared" si="2"/>
        <v>3182</v>
      </c>
    </row>
    <row r="28" spans="1:25" x14ac:dyDescent="0.2">
      <c r="A28" s="34" t="s">
        <v>40</v>
      </c>
      <c r="B28" s="35"/>
      <c r="C28" s="35"/>
      <c r="D28" s="41"/>
      <c r="E28" s="33"/>
      <c r="F28" s="33"/>
      <c r="G28" s="33"/>
      <c r="H28" s="33"/>
      <c r="I28" s="33"/>
      <c r="J28" s="15">
        <f t="shared" si="0"/>
        <v>0</v>
      </c>
      <c r="K28" s="16">
        <f t="shared" si="1"/>
        <v>0</v>
      </c>
      <c r="L28" s="42"/>
      <c r="Q28" s="18"/>
    </row>
    <row r="29" spans="1:25" x14ac:dyDescent="0.2">
      <c r="A29" s="29" t="s">
        <v>41</v>
      </c>
      <c r="B29" s="43">
        <f>SUM(B3:B27)</f>
        <v>82943.600000000006</v>
      </c>
      <c r="C29" s="43">
        <f>SUM(C3:C25)</f>
        <v>73</v>
      </c>
      <c r="D29" s="44">
        <f t="shared" ref="D29:I29" si="3">SUM(D3:D27)</f>
        <v>90</v>
      </c>
      <c r="E29" s="45">
        <f t="shared" si="3"/>
        <v>15</v>
      </c>
      <c r="F29" s="45">
        <f t="shared" si="3"/>
        <v>8</v>
      </c>
      <c r="G29" s="45">
        <f t="shared" si="3"/>
        <v>12</v>
      </c>
      <c r="H29" s="45">
        <f t="shared" si="3"/>
        <v>14</v>
      </c>
      <c r="I29" s="45">
        <f t="shared" si="3"/>
        <v>12</v>
      </c>
      <c r="J29" s="15">
        <f>SUM(J3:J28)</f>
        <v>61</v>
      </c>
      <c r="K29" s="16">
        <f>SUM(K3:K28)</f>
        <v>61</v>
      </c>
      <c r="L29" s="42">
        <f>+K29/'[1]2019'!J29</f>
        <v>0.67777777777777781</v>
      </c>
      <c r="Q29" s="18">
        <f>+IF(J29=0,B29,B29/K29)</f>
        <v>1359.7311475409838</v>
      </c>
    </row>
    <row r="30" spans="1:25" x14ac:dyDescent="0.2">
      <c r="A30" s="46" t="s">
        <v>42</v>
      </c>
      <c r="B30" s="46"/>
      <c r="C30" s="46"/>
      <c r="D30" s="47">
        <f>SUM(E30:I30)</f>
        <v>78</v>
      </c>
      <c r="E30" s="48">
        <f>+F34</f>
        <v>17.16</v>
      </c>
      <c r="F30" s="48">
        <f>+F35</f>
        <v>13.65</v>
      </c>
      <c r="G30" s="48">
        <f>+F36</f>
        <v>13.65</v>
      </c>
      <c r="H30" s="48">
        <f>+F37</f>
        <v>17.16</v>
      </c>
      <c r="I30" s="48">
        <f>+F38</f>
        <v>16.38</v>
      </c>
      <c r="S30" s="5">
        <v>94680</v>
      </c>
      <c r="T30" s="49">
        <f>+S31/S30</f>
        <v>0.87603506548373467</v>
      </c>
    </row>
    <row r="31" spans="1:25" x14ac:dyDescent="0.2">
      <c r="A31" s="43" t="s">
        <v>43</v>
      </c>
      <c r="D31" s="5">
        <f>+D29</f>
        <v>90</v>
      </c>
      <c r="E31" s="18">
        <f>+$D$31*D34</f>
        <v>19.8</v>
      </c>
      <c r="F31" s="18">
        <f>+$D$31*D35</f>
        <v>15.749999999999998</v>
      </c>
      <c r="G31" s="18">
        <f>+$D$31*D36</f>
        <v>15.749999999999998</v>
      </c>
      <c r="H31" s="18">
        <f>+$D$31*D37</f>
        <v>19.8</v>
      </c>
      <c r="I31" s="18">
        <f>+$D$31*D38</f>
        <v>18.899999999999999</v>
      </c>
      <c r="J31" s="5" t="s">
        <v>44</v>
      </c>
      <c r="K31" s="5" t="s">
        <v>45</v>
      </c>
      <c r="L31" s="5" t="s">
        <v>46</v>
      </c>
      <c r="M31" s="5" t="s">
        <v>46</v>
      </c>
      <c r="N31" s="5" t="s">
        <v>47</v>
      </c>
      <c r="S31" s="5">
        <v>82943</v>
      </c>
    </row>
    <row r="32" spans="1:25" ht="13.5" thickBot="1" x14ac:dyDescent="0.25">
      <c r="D32" s="5">
        <f>SUM(D3:D27)</f>
        <v>90</v>
      </c>
      <c r="I32" s="5" t="s">
        <v>48</v>
      </c>
      <c r="J32" s="5">
        <f>(E29/2-J35)+F29+H29</f>
        <v>31</v>
      </c>
      <c r="K32" s="5">
        <f>+(E29/2-J35)+F29+H29</f>
        <v>31</v>
      </c>
      <c r="L32" s="5">
        <f>+H29+I29</f>
        <v>26</v>
      </c>
      <c r="M32" s="42">
        <f>+L32/$K$29</f>
        <v>0.42622950819672129</v>
      </c>
      <c r="N32" s="42">
        <f>+K32/$K$29</f>
        <v>0.50819672131147542</v>
      </c>
    </row>
    <row r="33" spans="1:14" ht="15.75" x14ac:dyDescent="0.25">
      <c r="A33" s="50" t="s">
        <v>49</v>
      </c>
      <c r="B33" s="51"/>
      <c r="C33" s="51"/>
      <c r="D33" s="52"/>
      <c r="E33" s="51" t="s">
        <v>50</v>
      </c>
      <c r="F33" s="51" t="s">
        <v>51</v>
      </c>
      <c r="G33" s="51" t="s">
        <v>52</v>
      </c>
      <c r="H33" s="53"/>
      <c r="I33" s="54" t="s">
        <v>53</v>
      </c>
      <c r="J33" s="5">
        <f>+(E29/2+J35)+G29+I29</f>
        <v>30</v>
      </c>
      <c r="K33" s="5">
        <f>+(E29/2+J35)+G29+I29</f>
        <v>30</v>
      </c>
      <c r="L33" s="5">
        <f>+(E29)+F29+G29</f>
        <v>35</v>
      </c>
      <c r="M33" s="42">
        <f>+L33/$K$29</f>
        <v>0.57377049180327866</v>
      </c>
      <c r="N33" s="42">
        <f>+K33/$K$29</f>
        <v>0.49180327868852458</v>
      </c>
    </row>
    <row r="34" spans="1:14" ht="15.75" x14ac:dyDescent="0.25">
      <c r="A34" s="55" t="s">
        <v>54</v>
      </c>
      <c r="B34" s="56"/>
      <c r="C34" s="56"/>
      <c r="D34" s="57">
        <v>0.22</v>
      </c>
      <c r="E34" s="56">
        <v>22</v>
      </c>
      <c r="F34" s="18">
        <f>+$E$39/100*E34</f>
        <v>17.16</v>
      </c>
      <c r="G34" s="18">
        <f>+F34*5</f>
        <v>85.8</v>
      </c>
      <c r="H34" s="58"/>
      <c r="J34" s="5">
        <f>SUM(J32:J33)</f>
        <v>61</v>
      </c>
      <c r="K34" s="5">
        <f>SUM(K32:K33)</f>
        <v>61</v>
      </c>
      <c r="L34" s="5">
        <f>SUM(L32:L33)</f>
        <v>61</v>
      </c>
      <c r="M34" s="42">
        <f>SUM(M32:M33)</f>
        <v>1</v>
      </c>
      <c r="N34" s="42">
        <f>SUM(N32:N33)</f>
        <v>1</v>
      </c>
    </row>
    <row r="35" spans="1:14" ht="15.75" x14ac:dyDescent="0.25">
      <c r="A35" s="55" t="s">
        <v>55</v>
      </c>
      <c r="B35" s="56"/>
      <c r="C35" s="56"/>
      <c r="D35" s="57">
        <v>0.17499999999999999</v>
      </c>
      <c r="E35" s="56">
        <v>17.5</v>
      </c>
      <c r="F35" s="18">
        <f>+$E$39/100*E35</f>
        <v>13.65</v>
      </c>
      <c r="G35" s="18">
        <f>+F35*5</f>
        <v>68.25</v>
      </c>
      <c r="H35" s="59"/>
      <c r="I35" s="60" t="s">
        <v>56</v>
      </c>
      <c r="J35" s="56">
        <v>-1.5</v>
      </c>
    </row>
    <row r="36" spans="1:14" ht="15.75" x14ac:dyDescent="0.25">
      <c r="A36" s="55" t="s">
        <v>57</v>
      </c>
      <c r="B36" s="56"/>
      <c r="C36" s="56"/>
      <c r="D36" s="57">
        <v>0.17499999999999999</v>
      </c>
      <c r="E36" s="56">
        <v>17.5</v>
      </c>
      <c r="F36" s="18">
        <f>+$E$39/100*E36</f>
        <v>13.65</v>
      </c>
      <c r="G36" s="18">
        <f>+F36*5</f>
        <v>68.25</v>
      </c>
      <c r="H36" s="59"/>
    </row>
    <row r="37" spans="1:14" ht="15.75" x14ac:dyDescent="0.25">
      <c r="A37" s="55" t="s">
        <v>58</v>
      </c>
      <c r="B37" s="56"/>
      <c r="C37" s="56"/>
      <c r="D37" s="57">
        <v>0.22</v>
      </c>
      <c r="E37" s="56">
        <v>22</v>
      </c>
      <c r="F37" s="18">
        <f>+$E$39/100*E37</f>
        <v>17.16</v>
      </c>
      <c r="G37" s="18">
        <f>+F37*5</f>
        <v>85.8</v>
      </c>
      <c r="H37" s="59"/>
      <c r="I37" s="5" t="s">
        <v>59</v>
      </c>
      <c r="J37" s="5" t="s">
        <v>60</v>
      </c>
      <c r="K37" s="5" t="s">
        <v>61</v>
      </c>
    </row>
    <row r="38" spans="1:14" ht="16.5" thickBot="1" x14ac:dyDescent="0.3">
      <c r="A38" s="61" t="s">
        <v>62</v>
      </c>
      <c r="B38" s="62"/>
      <c r="C38" s="62"/>
      <c r="D38" s="63">
        <v>0.21</v>
      </c>
      <c r="E38" s="64">
        <v>21</v>
      </c>
      <c r="F38" s="65">
        <f>+$E$39/100*E38</f>
        <v>16.38</v>
      </c>
      <c r="G38" s="65">
        <f>+F38*5</f>
        <v>81.899999999999991</v>
      </c>
      <c r="H38" s="66"/>
    </row>
    <row r="39" spans="1:14" ht="15.75" x14ac:dyDescent="0.25">
      <c r="A39" s="34"/>
      <c r="B39" s="34"/>
      <c r="C39" s="34"/>
      <c r="E39" s="56">
        <v>78</v>
      </c>
      <c r="F39" s="5">
        <f>SUM(F34:F38)</f>
        <v>78</v>
      </c>
      <c r="G39" s="5">
        <f>SUM(G34:G38)</f>
        <v>390</v>
      </c>
    </row>
    <row r="40" spans="1:14" x14ac:dyDescent="0.2">
      <c r="A40" s="34"/>
      <c r="B40" s="34"/>
      <c r="C40" s="34"/>
      <c r="E40" s="5" t="str">
        <f>+E1</f>
        <v xml:space="preserve">Kalv </v>
      </c>
      <c r="F40" s="5" t="str">
        <f>+F1</f>
        <v>1 ½ år,</v>
      </c>
      <c r="G40" s="5" t="str">
        <f>+G1</f>
        <v xml:space="preserve">1 ½ år gamle </v>
      </c>
      <c r="H40" s="5" t="str">
        <f>+H1</f>
        <v>Eldre hodyr</v>
      </c>
      <c r="I40" s="5" t="str">
        <f>+I1</f>
        <v>Eldre hanndyr</v>
      </c>
    </row>
    <row r="41" spans="1:14" x14ac:dyDescent="0.2">
      <c r="A41" s="67" t="s">
        <v>63</v>
      </c>
      <c r="B41" s="68">
        <v>2016</v>
      </c>
      <c r="C41" s="68"/>
      <c r="D41" s="68"/>
      <c r="E41" s="68">
        <f>+'[1]2016_felte_dyr'!E29</f>
        <v>17</v>
      </c>
      <c r="F41" s="68">
        <f>+'[1]2016_felte_dyr'!F29</f>
        <v>13</v>
      </c>
      <c r="G41" s="68">
        <f>+'[1]2016_felte_dyr'!G29</f>
        <v>12</v>
      </c>
      <c r="H41" s="68">
        <f>+'[1]2016_felte_dyr'!H29</f>
        <v>12</v>
      </c>
      <c r="I41" s="68">
        <f>+'[1]2016_felte_dyr'!I29</f>
        <v>14</v>
      </c>
      <c r="J41" s="68">
        <f>SUM(E41:I41)</f>
        <v>68</v>
      </c>
    </row>
    <row r="42" spans="1:14" x14ac:dyDescent="0.2">
      <c r="B42" s="68">
        <v>2017</v>
      </c>
      <c r="C42" s="68"/>
      <c r="D42" s="68"/>
      <c r="E42" s="68">
        <f>+'[1]2017_felte_dyr'!E29</f>
        <v>10</v>
      </c>
      <c r="F42" s="68">
        <f>+'[1]2017_felte_dyr'!F29</f>
        <v>11</v>
      </c>
      <c r="G42" s="68">
        <f>+'[1]2017_felte_dyr'!G29</f>
        <v>12</v>
      </c>
      <c r="H42" s="68">
        <f>+'[1]2017_felte_dyr'!H29</f>
        <v>11</v>
      </c>
      <c r="I42" s="68">
        <f>+'[1]2017_felte_dyr'!I29</f>
        <v>12</v>
      </c>
      <c r="J42" s="68">
        <f>SUM(E42:I42)</f>
        <v>56</v>
      </c>
    </row>
    <row r="43" spans="1:14" x14ac:dyDescent="0.2">
      <c r="B43" s="68">
        <v>2018</v>
      </c>
      <c r="C43" s="68"/>
      <c r="D43" s="68"/>
      <c r="E43" s="68">
        <f>+'[1]2018_felte_dyr'!E29</f>
        <v>15</v>
      </c>
      <c r="F43" s="68">
        <f>+'[1]2018_felte_dyr'!F29</f>
        <v>11</v>
      </c>
      <c r="G43" s="68">
        <f>+'[1]2018_felte_dyr'!G29</f>
        <v>13</v>
      </c>
      <c r="H43" s="68">
        <f>+'[1]2018_felte_dyr'!H29</f>
        <v>19</v>
      </c>
      <c r="I43" s="68">
        <f>+'[1]2018_felte_dyr'!I29</f>
        <v>15</v>
      </c>
      <c r="J43" s="68">
        <f>SUM(E43:I43)</f>
        <v>73</v>
      </c>
    </row>
    <row r="44" spans="1:14" x14ac:dyDescent="0.2">
      <c r="B44" s="68">
        <v>2019</v>
      </c>
      <c r="C44" s="68"/>
      <c r="D44" s="68"/>
      <c r="E44" s="68">
        <f>+E29</f>
        <v>15</v>
      </c>
      <c r="F44" s="68">
        <f>+F29</f>
        <v>8</v>
      </c>
      <c r="G44" s="68">
        <f>+G29</f>
        <v>12</v>
      </c>
      <c r="H44" s="68">
        <f>+H29</f>
        <v>14</v>
      </c>
      <c r="I44" s="68">
        <f>+I29</f>
        <v>12</v>
      </c>
      <c r="J44" s="68">
        <f>SUM(E44:I44)</f>
        <v>61</v>
      </c>
    </row>
    <row r="45" spans="1:14" x14ac:dyDescent="0.2">
      <c r="B45" s="68">
        <v>2020</v>
      </c>
      <c r="C45" s="68"/>
      <c r="D45" s="68"/>
      <c r="E45" s="68"/>
      <c r="F45" s="68"/>
      <c r="G45" s="68"/>
      <c r="H45" s="68"/>
      <c r="I45" s="68"/>
      <c r="J45" s="68">
        <f>SUM(E45:I45)</f>
        <v>0</v>
      </c>
    </row>
    <row r="46" spans="1:14" x14ac:dyDescent="0.2">
      <c r="B46" s="69" t="s">
        <v>12</v>
      </c>
      <c r="C46" s="69"/>
      <c r="D46" s="69"/>
      <c r="E46" s="69">
        <f t="shared" ref="E46:J46" si="4">SUM(E41:E45)</f>
        <v>57</v>
      </c>
      <c r="F46" s="69">
        <f t="shared" si="4"/>
        <v>43</v>
      </c>
      <c r="G46" s="69">
        <f t="shared" si="4"/>
        <v>49</v>
      </c>
      <c r="H46" s="69">
        <f t="shared" si="4"/>
        <v>56</v>
      </c>
      <c r="I46" s="69">
        <f t="shared" si="4"/>
        <v>53</v>
      </c>
      <c r="J46" s="69">
        <f t="shared" si="4"/>
        <v>258</v>
      </c>
    </row>
    <row r="47" spans="1:14" x14ac:dyDescent="0.2">
      <c r="B47" s="68" t="s">
        <v>64</v>
      </c>
      <c r="C47" s="68"/>
      <c r="D47" s="68"/>
      <c r="E47" s="70">
        <f>+E46/$J$46</f>
        <v>0.22093023255813954</v>
      </c>
      <c r="F47" s="70">
        <f>+F46/$J$46</f>
        <v>0.16666666666666666</v>
      </c>
      <c r="G47" s="70">
        <f>+G46/$J$46</f>
        <v>0.18992248062015504</v>
      </c>
      <c r="H47" s="70">
        <f>+H46/$J$46</f>
        <v>0.21705426356589147</v>
      </c>
      <c r="I47" s="70">
        <f>+I46/$J$46</f>
        <v>0.20542635658914729</v>
      </c>
      <c r="J47" s="68"/>
    </row>
    <row r="48" spans="1:14" x14ac:dyDescent="0.2">
      <c r="B48" s="5" t="s">
        <v>65</v>
      </c>
      <c r="F48" s="71">
        <f>+(F46+G46)/$J$46/2</f>
        <v>0.17829457364341086</v>
      </c>
    </row>
    <row r="49" spans="1:12" x14ac:dyDescent="0.2">
      <c r="B49" s="5" t="s">
        <v>66</v>
      </c>
      <c r="E49" s="72">
        <f>+E47-D34</f>
        <v>9.3023255813953765E-4</v>
      </c>
      <c r="F49" s="73">
        <f>+F47-D35</f>
        <v>-8.3333333333333315E-3</v>
      </c>
      <c r="G49" s="73">
        <f>+G47-D36</f>
        <v>1.4922480620155054E-2</v>
      </c>
      <c r="H49" s="73">
        <f>+H47-D37</f>
        <v>-2.9457364341085313E-3</v>
      </c>
      <c r="I49" s="74">
        <f>+I47-D38</f>
        <v>-4.5736434108527013E-3</v>
      </c>
    </row>
    <row r="59" spans="1:12" x14ac:dyDescent="0.2">
      <c r="A59" s="75" t="s">
        <v>67</v>
      </c>
    </row>
    <row r="60" spans="1:12" ht="25.5" x14ac:dyDescent="0.2">
      <c r="A60" s="1" t="s">
        <v>0</v>
      </c>
      <c r="B60" s="2"/>
      <c r="C60" s="2"/>
      <c r="D60" s="3" t="s">
        <v>2</v>
      </c>
      <c r="E60" s="3" t="s">
        <v>3</v>
      </c>
      <c r="F60" s="4" t="s">
        <v>4</v>
      </c>
      <c r="G60" s="4" t="s">
        <v>5</v>
      </c>
      <c r="H60" s="4" t="s">
        <v>6</v>
      </c>
      <c r="I60" s="4" t="s">
        <v>7</v>
      </c>
      <c r="J60" s="5">
        <v>2019</v>
      </c>
      <c r="K60" s="76" t="s">
        <v>68</v>
      </c>
      <c r="L60" s="77">
        <f ca="1">TODAY()</f>
        <v>43821</v>
      </c>
    </row>
    <row r="61" spans="1:12" ht="25.5" x14ac:dyDescent="0.2">
      <c r="A61" s="1"/>
      <c r="B61" s="6" t="s">
        <v>8</v>
      </c>
      <c r="C61" s="6"/>
      <c r="D61" s="3"/>
      <c r="E61" s="3"/>
      <c r="F61" s="7" t="s">
        <v>9</v>
      </c>
      <c r="G61" s="7" t="s">
        <v>10</v>
      </c>
      <c r="H61" s="7" t="s">
        <v>11</v>
      </c>
      <c r="I61" s="7" t="s">
        <v>11</v>
      </c>
      <c r="J61" s="8" t="s">
        <v>12</v>
      </c>
      <c r="K61" s="8" t="s">
        <v>69</v>
      </c>
      <c r="L61" s="8" t="s">
        <v>13</v>
      </c>
    </row>
    <row r="62" spans="1:12" x14ac:dyDescent="0.2">
      <c r="A62" s="9" t="s">
        <v>15</v>
      </c>
      <c r="B62" s="10">
        <v>8200</v>
      </c>
      <c r="C62" s="11"/>
      <c r="D62" s="19">
        <f t="shared" ref="D62:D86" si="5">+D3</f>
        <v>17</v>
      </c>
      <c r="E62" s="78">
        <f>+'[1]2019'!E3-E3</f>
        <v>0</v>
      </c>
      <c r="F62" s="78">
        <f>+'[1]2019'!F3-F3</f>
        <v>0</v>
      </c>
      <c r="G62" s="78">
        <f>+'[1]2019'!G3-G3</f>
        <v>-1</v>
      </c>
      <c r="H62" s="78">
        <f>+'[1]2019'!H3-H3</f>
        <v>0</v>
      </c>
      <c r="I62" s="78">
        <f>+'[1]2019'!I3-I3</f>
        <v>1</v>
      </c>
      <c r="J62" s="15">
        <f t="shared" ref="J62:J87" si="6">SUM(E62:I62)</f>
        <v>0</v>
      </c>
      <c r="K62" s="16">
        <f t="shared" ref="K62:K87" si="7">+J62</f>
        <v>0</v>
      </c>
      <c r="L62" s="42"/>
    </row>
    <row r="63" spans="1:12" x14ac:dyDescent="0.2">
      <c r="A63" s="9" t="s">
        <v>16</v>
      </c>
      <c r="B63" s="10">
        <v>2669</v>
      </c>
      <c r="C63" s="11"/>
      <c r="D63" s="19">
        <f t="shared" si="5"/>
        <v>1</v>
      </c>
      <c r="E63" s="78">
        <f>+'[1]2019'!E4-E4</f>
        <v>0</v>
      </c>
      <c r="F63" s="78">
        <f>+'[1]2019'!F4-F4</f>
        <v>1</v>
      </c>
      <c r="G63" s="78">
        <f>+'[1]2019'!G4-G4</f>
        <v>0</v>
      </c>
      <c r="H63" s="78">
        <f>+'[1]2019'!H4-H4</f>
        <v>0</v>
      </c>
      <c r="I63" s="78">
        <f>+'[1]2019'!I4-I4</f>
        <v>0</v>
      </c>
      <c r="J63" s="15">
        <f t="shared" si="6"/>
        <v>1</v>
      </c>
      <c r="K63" s="16">
        <f t="shared" si="7"/>
        <v>1</v>
      </c>
    </row>
    <row r="64" spans="1:12" x14ac:dyDescent="0.2">
      <c r="A64" s="9" t="s">
        <v>17</v>
      </c>
      <c r="B64" s="10">
        <v>2100</v>
      </c>
      <c r="C64" s="11"/>
      <c r="D64" s="19">
        <f t="shared" si="5"/>
        <v>4</v>
      </c>
      <c r="E64" s="78">
        <f>+'[1]2019'!E5-E5</f>
        <v>0</v>
      </c>
      <c r="F64" s="78">
        <f>+'[1]2019'!F5-F5</f>
        <v>1</v>
      </c>
      <c r="G64" s="78">
        <f>+'[1]2019'!G5-G5</f>
        <v>-1</v>
      </c>
      <c r="H64" s="78">
        <f>+'[1]2019'!H5-H5</f>
        <v>0</v>
      </c>
      <c r="I64" s="78">
        <f>+'[1]2019'!I5-I5</f>
        <v>0</v>
      </c>
      <c r="J64" s="15">
        <f t="shared" si="6"/>
        <v>0</v>
      </c>
      <c r="K64" s="16">
        <f t="shared" si="7"/>
        <v>0</v>
      </c>
    </row>
    <row r="65" spans="1:11" x14ac:dyDescent="0.2">
      <c r="A65" s="9" t="s">
        <v>18</v>
      </c>
      <c r="B65" s="10">
        <v>3650</v>
      </c>
      <c r="C65" s="11"/>
      <c r="D65" s="19">
        <f t="shared" si="5"/>
        <v>4</v>
      </c>
      <c r="E65" s="78">
        <f>+'[1]2019'!E6-E6</f>
        <v>-1</v>
      </c>
      <c r="F65" s="78">
        <f>+'[1]2019'!F6-F6</f>
        <v>1</v>
      </c>
      <c r="G65" s="78">
        <f>+'[1]2019'!G6-G6</f>
        <v>0</v>
      </c>
      <c r="H65" s="78">
        <f>+'[1]2019'!H6-H6</f>
        <v>0</v>
      </c>
      <c r="I65" s="78">
        <f>+'[1]2019'!I6-I6</f>
        <v>0</v>
      </c>
      <c r="J65" s="15">
        <f t="shared" si="6"/>
        <v>0</v>
      </c>
      <c r="K65" s="16">
        <f t="shared" si="7"/>
        <v>0</v>
      </c>
    </row>
    <row r="66" spans="1:11" x14ac:dyDescent="0.2">
      <c r="A66" s="9" t="s">
        <v>19</v>
      </c>
      <c r="B66" s="10">
        <v>4600</v>
      </c>
      <c r="C66" s="23"/>
      <c r="D66" s="19">
        <f t="shared" si="5"/>
        <v>4</v>
      </c>
      <c r="E66" s="78">
        <f>+'[1]2019'!E7-E7</f>
        <v>1</v>
      </c>
      <c r="F66" s="78">
        <f>+'[1]2019'!F7-F7</f>
        <v>0</v>
      </c>
      <c r="G66" s="78">
        <f>+'[1]2019'!G7-G7</f>
        <v>0</v>
      </c>
      <c r="H66" s="78">
        <f>+'[1]2019'!H7-H7</f>
        <v>1</v>
      </c>
      <c r="I66" s="78">
        <f>+'[1]2019'!I7-I7</f>
        <v>1</v>
      </c>
      <c r="J66" s="15">
        <f t="shared" si="6"/>
        <v>3</v>
      </c>
      <c r="K66" s="16">
        <f t="shared" si="7"/>
        <v>3</v>
      </c>
    </row>
    <row r="67" spans="1:11" x14ac:dyDescent="0.2">
      <c r="A67" s="9" t="s">
        <v>20</v>
      </c>
      <c r="B67" s="10">
        <f>285+401+388</f>
        <v>1074</v>
      </c>
      <c r="C67" s="11"/>
      <c r="D67" s="19">
        <f t="shared" si="5"/>
        <v>2</v>
      </c>
      <c r="E67" s="78">
        <f>+'[1]2019'!E8-E8</f>
        <v>0</v>
      </c>
      <c r="F67" s="78">
        <f>+'[1]2019'!F8-F8</f>
        <v>1</v>
      </c>
      <c r="G67" s="78">
        <f>+'[1]2019'!G8-G8</f>
        <v>0</v>
      </c>
      <c r="H67" s="78">
        <f>+'[1]2019'!H8-H8</f>
        <v>0</v>
      </c>
      <c r="I67" s="78">
        <f>+'[1]2019'!I8-I8</f>
        <v>0</v>
      </c>
      <c r="J67" s="15">
        <f t="shared" si="6"/>
        <v>1</v>
      </c>
      <c r="K67" s="16">
        <f t="shared" si="7"/>
        <v>1</v>
      </c>
    </row>
    <row r="68" spans="1:11" x14ac:dyDescent="0.2">
      <c r="A68" s="9" t="s">
        <v>21</v>
      </c>
      <c r="B68" s="10">
        <f>200+300+155+150+200+393+75+75</f>
        <v>1548</v>
      </c>
      <c r="C68" s="11"/>
      <c r="D68" s="19">
        <f t="shared" si="5"/>
        <v>1</v>
      </c>
      <c r="E68" s="78">
        <f>+'[1]2019'!E9-E9</f>
        <v>0</v>
      </c>
      <c r="F68" s="78">
        <f>+'[1]2019'!F9-F9</f>
        <v>1</v>
      </c>
      <c r="G68" s="78">
        <f>+'[1]2019'!G9-G9</f>
        <v>0</v>
      </c>
      <c r="H68" s="78">
        <f>+'[1]2019'!H9-H9</f>
        <v>0</v>
      </c>
      <c r="I68" s="78">
        <f>+'[1]2019'!I9-I9</f>
        <v>0</v>
      </c>
      <c r="J68" s="15">
        <f t="shared" si="6"/>
        <v>1</v>
      </c>
      <c r="K68" s="16">
        <f t="shared" si="7"/>
        <v>1</v>
      </c>
    </row>
    <row r="69" spans="1:11" x14ac:dyDescent="0.2">
      <c r="A69" s="9" t="s">
        <v>22</v>
      </c>
      <c r="B69" s="10">
        <v>1098.9000000000001</v>
      </c>
      <c r="C69" s="11"/>
      <c r="D69" s="19">
        <f t="shared" si="5"/>
        <v>1</v>
      </c>
      <c r="E69" s="78">
        <f>+'[1]2019'!E10-E10</f>
        <v>0</v>
      </c>
      <c r="F69" s="78">
        <f>+'[1]2019'!F10-F10</f>
        <v>0</v>
      </c>
      <c r="G69" s="78">
        <f>+'[1]2019'!G10-G10</f>
        <v>1</v>
      </c>
      <c r="H69" s="78">
        <f>+'[1]2019'!H10-H10</f>
        <v>0</v>
      </c>
      <c r="I69" s="78">
        <f>+'[1]2019'!I10-I10</f>
        <v>0</v>
      </c>
      <c r="J69" s="15">
        <f t="shared" si="6"/>
        <v>1</v>
      </c>
      <c r="K69" s="16">
        <f t="shared" si="7"/>
        <v>1</v>
      </c>
    </row>
    <row r="70" spans="1:11" x14ac:dyDescent="0.2">
      <c r="A70" s="9" t="s">
        <v>23</v>
      </c>
      <c r="B70" s="10">
        <v>1270</v>
      </c>
      <c r="C70" s="11"/>
      <c r="D70" s="19">
        <f t="shared" si="5"/>
        <v>4</v>
      </c>
      <c r="E70" s="78">
        <f>+'[1]2019'!E11-E11</f>
        <v>1</v>
      </c>
      <c r="F70" s="78">
        <f>+'[1]2019'!F11-F11</f>
        <v>0</v>
      </c>
      <c r="G70" s="78">
        <f>+'[1]2019'!G11-G11</f>
        <v>0</v>
      </c>
      <c r="H70" s="78">
        <f>+'[1]2019'!H11-H11</f>
        <v>1</v>
      </c>
      <c r="I70" s="78">
        <f>+'[1]2019'!I11-I11</f>
        <v>0</v>
      </c>
      <c r="J70" s="15">
        <f t="shared" si="6"/>
        <v>2</v>
      </c>
      <c r="K70" s="16">
        <f t="shared" si="7"/>
        <v>2</v>
      </c>
    </row>
    <row r="71" spans="1:11" x14ac:dyDescent="0.2">
      <c r="A71" s="9" t="s">
        <v>24</v>
      </c>
      <c r="B71" s="10">
        <f>26+196+15+188+10+410+360+170+1600</f>
        <v>2975</v>
      </c>
      <c r="C71" s="11"/>
      <c r="D71" s="19">
        <f t="shared" si="5"/>
        <v>6</v>
      </c>
      <c r="E71" s="78">
        <f>+'[1]2019'!E12-E12</f>
        <v>1</v>
      </c>
      <c r="F71" s="78">
        <f>+'[1]2019'!F12-F12</f>
        <v>0</v>
      </c>
      <c r="G71" s="78">
        <f>+'[1]2019'!G12-G12</f>
        <v>0</v>
      </c>
      <c r="H71" s="78">
        <f>+'[1]2019'!H12-H13</f>
        <v>1</v>
      </c>
      <c r="I71" s="78">
        <f>+'[1]2019'!I12-I12</f>
        <v>0</v>
      </c>
      <c r="J71" s="15">
        <f t="shared" si="6"/>
        <v>2</v>
      </c>
      <c r="K71" s="16">
        <f t="shared" si="7"/>
        <v>2</v>
      </c>
    </row>
    <row r="72" spans="1:11" x14ac:dyDescent="0.2">
      <c r="A72" s="9" t="s">
        <v>25</v>
      </c>
      <c r="B72" s="10">
        <v>2077</v>
      </c>
      <c r="C72" s="11"/>
      <c r="D72" s="19">
        <f t="shared" si="5"/>
        <v>4</v>
      </c>
      <c r="E72" s="78">
        <f>+'[1]2019'!E13-E13</f>
        <v>0</v>
      </c>
      <c r="F72" s="78">
        <f>+'[1]2019'!F13-F13</f>
        <v>0</v>
      </c>
      <c r="G72" s="78">
        <f>+'[1]2019'!G13-G13</f>
        <v>0</v>
      </c>
      <c r="H72" s="78">
        <f>+'[1]2019'!H13-H14</f>
        <v>0</v>
      </c>
      <c r="I72" s="78">
        <f>+'[1]2019'!I13-I13</f>
        <v>0</v>
      </c>
      <c r="J72" s="15">
        <f t="shared" si="6"/>
        <v>0</v>
      </c>
      <c r="K72" s="16">
        <f t="shared" si="7"/>
        <v>0</v>
      </c>
    </row>
    <row r="73" spans="1:11" x14ac:dyDescent="0.2">
      <c r="A73" s="9" t="s">
        <v>26</v>
      </c>
      <c r="B73" s="10">
        <v>3998</v>
      </c>
      <c r="C73" s="11"/>
      <c r="D73" s="19">
        <f t="shared" si="5"/>
        <v>5</v>
      </c>
      <c r="E73" s="78">
        <f>+'[1]2019'!E14-E14</f>
        <v>0</v>
      </c>
      <c r="F73" s="78">
        <f>+'[1]2019'!F14-F14</f>
        <v>0</v>
      </c>
      <c r="G73" s="78">
        <f>+'[1]2019'!G14-G14</f>
        <v>1</v>
      </c>
      <c r="H73" s="78">
        <f>+'[1]2019'!H14-H14</f>
        <v>0</v>
      </c>
      <c r="I73" s="78">
        <f>+'[1]2019'!I14-I14</f>
        <v>0</v>
      </c>
      <c r="J73" s="15">
        <f t="shared" si="6"/>
        <v>1</v>
      </c>
      <c r="K73" s="16">
        <f t="shared" si="7"/>
        <v>1</v>
      </c>
    </row>
    <row r="74" spans="1:11" x14ac:dyDescent="0.2">
      <c r="A74" s="9" t="s">
        <v>70</v>
      </c>
      <c r="B74" s="10">
        <v>1765</v>
      </c>
      <c r="C74" s="11"/>
      <c r="D74" s="19">
        <f t="shared" si="5"/>
        <v>3</v>
      </c>
      <c r="E74" s="78">
        <f>+'[1]2019'!E15-E15</f>
        <v>0</v>
      </c>
      <c r="F74" s="78">
        <f>+'[1]2019'!F15-F15</f>
        <v>0</v>
      </c>
      <c r="G74" s="78">
        <f>+'[1]2019'!G15-G15</f>
        <v>0</v>
      </c>
      <c r="H74" s="78">
        <f>+'[1]2019'!H15-H15</f>
        <v>0</v>
      </c>
      <c r="I74" s="78">
        <f>+'[1]2019'!I15-I15</f>
        <v>1</v>
      </c>
      <c r="J74" s="15">
        <f t="shared" si="6"/>
        <v>1</v>
      </c>
      <c r="K74" s="16">
        <f t="shared" si="7"/>
        <v>1</v>
      </c>
    </row>
    <row r="75" spans="1:11" x14ac:dyDescent="0.2">
      <c r="A75" s="9" t="s">
        <v>28</v>
      </c>
      <c r="B75" s="10">
        <v>3600</v>
      </c>
      <c r="C75" s="11"/>
      <c r="D75" s="19">
        <f t="shared" si="5"/>
        <v>2</v>
      </c>
      <c r="E75" s="78">
        <f>+'[1]2019'!E16-E16</f>
        <v>0</v>
      </c>
      <c r="F75" s="78">
        <f>+'[1]2019'!F16-F16</f>
        <v>1</v>
      </c>
      <c r="G75" s="78">
        <f>+'[1]2019'!G16-G16</f>
        <v>0</v>
      </c>
      <c r="H75" s="78">
        <f>+'[1]2019'!H16-H16</f>
        <v>0</v>
      </c>
      <c r="I75" s="78">
        <f>+'[1]2019'!I16-I16</f>
        <v>0</v>
      </c>
      <c r="J75" s="15">
        <f t="shared" si="6"/>
        <v>1</v>
      </c>
      <c r="K75" s="16">
        <f t="shared" si="7"/>
        <v>1</v>
      </c>
    </row>
    <row r="76" spans="1:11" x14ac:dyDescent="0.2">
      <c r="A76" s="9" t="s">
        <v>29</v>
      </c>
      <c r="B76" s="10">
        <v>5890</v>
      </c>
      <c r="C76" s="11"/>
      <c r="D76" s="19">
        <f t="shared" si="5"/>
        <v>5</v>
      </c>
      <c r="E76" s="78">
        <f>+'[1]2019'!E17-E17</f>
        <v>-1</v>
      </c>
      <c r="F76" s="78">
        <f>+'[1]2019'!F17-F17</f>
        <v>0</v>
      </c>
      <c r="G76" s="78">
        <f>+'[1]2019'!G17-G17</f>
        <v>0</v>
      </c>
      <c r="H76" s="78">
        <f>+'[1]2019'!H17-H17</f>
        <v>0</v>
      </c>
      <c r="I76" s="78">
        <f>+'[1]2019'!I17-I17</f>
        <v>1</v>
      </c>
      <c r="J76" s="15">
        <f t="shared" si="6"/>
        <v>0</v>
      </c>
      <c r="K76" s="16">
        <f t="shared" si="7"/>
        <v>0</v>
      </c>
    </row>
    <row r="77" spans="1:11" x14ac:dyDescent="0.2">
      <c r="A77" s="9" t="s">
        <v>30</v>
      </c>
      <c r="B77" s="10">
        <v>13250.2</v>
      </c>
      <c r="C77" s="11"/>
      <c r="D77" s="19">
        <f t="shared" si="5"/>
        <v>4</v>
      </c>
      <c r="E77" s="78">
        <f>+'[1]2019'!E18-E18</f>
        <v>1</v>
      </c>
      <c r="F77" s="78">
        <f>+'[1]2019'!F18-F18</f>
        <v>1</v>
      </c>
      <c r="G77" s="78">
        <f>+'[1]2019'!G18-G18</f>
        <v>1</v>
      </c>
      <c r="H77" s="78">
        <f>+'[1]2019'!H18-H18</f>
        <v>1</v>
      </c>
      <c r="I77" s="78">
        <f>+'[1]2019'!I18-I18</f>
        <v>0</v>
      </c>
      <c r="J77" s="15">
        <f t="shared" si="6"/>
        <v>4</v>
      </c>
      <c r="K77" s="16">
        <f t="shared" si="7"/>
        <v>4</v>
      </c>
    </row>
    <row r="78" spans="1:11" x14ac:dyDescent="0.2">
      <c r="A78" s="9" t="s">
        <v>31</v>
      </c>
      <c r="B78" s="10">
        <v>4077.1</v>
      </c>
      <c r="C78" s="11"/>
      <c r="D78" s="19">
        <f t="shared" si="5"/>
        <v>2</v>
      </c>
      <c r="E78" s="78">
        <f>+'[1]2019'!E19-E19</f>
        <v>0</v>
      </c>
      <c r="F78" s="78">
        <f>+'[1]2019'!F19-F19</f>
        <v>0</v>
      </c>
      <c r="G78" s="78">
        <f>+'[1]2019'!G19-G19</f>
        <v>1</v>
      </c>
      <c r="H78" s="78">
        <f>+'[1]2019'!H19-H19</f>
        <v>0</v>
      </c>
      <c r="I78" s="78">
        <f>+'[1]2019'!I19-I19</f>
        <v>0</v>
      </c>
      <c r="J78" s="15">
        <f t="shared" si="6"/>
        <v>1</v>
      </c>
      <c r="K78" s="16">
        <f t="shared" si="7"/>
        <v>1</v>
      </c>
    </row>
    <row r="79" spans="1:11" x14ac:dyDescent="0.2">
      <c r="A79" s="9" t="s">
        <v>32</v>
      </c>
      <c r="B79" s="10">
        <v>1885.6</v>
      </c>
      <c r="C79" s="11"/>
      <c r="D79" s="19">
        <f t="shared" si="5"/>
        <v>1</v>
      </c>
      <c r="E79" s="78">
        <f>+'[1]2019'!E20-E20</f>
        <v>0</v>
      </c>
      <c r="F79" s="78">
        <f>+'[1]2019'!F20-F20</f>
        <v>0</v>
      </c>
      <c r="G79" s="78">
        <f>+'[1]2019'!G20-G20</f>
        <v>0</v>
      </c>
      <c r="H79" s="78">
        <f>+'[1]2019'!H20-H20</f>
        <v>0</v>
      </c>
      <c r="I79" s="78">
        <f>+'[1]2019'!I20-I20</f>
        <v>1</v>
      </c>
      <c r="J79" s="15">
        <f t="shared" si="6"/>
        <v>1</v>
      </c>
      <c r="K79" s="16">
        <f t="shared" si="7"/>
        <v>1</v>
      </c>
    </row>
    <row r="80" spans="1:11" x14ac:dyDescent="0.2">
      <c r="A80" s="9" t="s">
        <v>33</v>
      </c>
      <c r="B80" s="10">
        <f>195+137+73+74+152+238+113+55+107+1150</f>
        <v>2294</v>
      </c>
      <c r="C80" s="11"/>
      <c r="D80" s="19">
        <f t="shared" si="5"/>
        <v>3</v>
      </c>
      <c r="E80" s="78">
        <f>+'[1]2019'!E21-E21</f>
        <v>0</v>
      </c>
      <c r="F80" s="78">
        <f>+'[1]2019'!F21-F21</f>
        <v>1</v>
      </c>
      <c r="G80" s="78">
        <f>+'[1]2019'!G21-G21</f>
        <v>0</v>
      </c>
      <c r="H80" s="78">
        <f>+'[1]2019'!H21-H21</f>
        <v>0</v>
      </c>
      <c r="I80" s="78">
        <f>+'[1]2019'!I21-I21</f>
        <v>0</v>
      </c>
      <c r="J80" s="15">
        <f t="shared" si="6"/>
        <v>1</v>
      </c>
      <c r="K80" s="16">
        <f t="shared" si="7"/>
        <v>1</v>
      </c>
    </row>
    <row r="81" spans="1:11" x14ac:dyDescent="0.2">
      <c r="A81" s="9" t="s">
        <v>34</v>
      </c>
      <c r="B81" s="10">
        <v>2100</v>
      </c>
      <c r="C81" s="11"/>
      <c r="D81" s="19">
        <f t="shared" si="5"/>
        <v>1</v>
      </c>
      <c r="E81" s="78">
        <f>+'[1]2019'!E22-E22</f>
        <v>0</v>
      </c>
      <c r="F81" s="78">
        <f>+'[1]2019'!F22-F22</f>
        <v>1</v>
      </c>
      <c r="G81" s="78">
        <f>+'[1]2019'!G22-G22</f>
        <v>0</v>
      </c>
      <c r="H81" s="78">
        <f>+'[1]2019'!H22-H22</f>
        <v>-1</v>
      </c>
      <c r="I81" s="78">
        <f>+'[1]2019'!I22-I22</f>
        <v>0</v>
      </c>
      <c r="J81" s="15">
        <f t="shared" si="6"/>
        <v>0</v>
      </c>
      <c r="K81" s="16">
        <f t="shared" si="7"/>
        <v>0</v>
      </c>
    </row>
    <row r="82" spans="1:11" x14ac:dyDescent="0.2">
      <c r="A82" s="9" t="s">
        <v>35</v>
      </c>
      <c r="B82" s="10">
        <f>3221+382</f>
        <v>3603</v>
      </c>
      <c r="C82" s="11"/>
      <c r="D82" s="19">
        <f t="shared" si="5"/>
        <v>3</v>
      </c>
      <c r="E82" s="78">
        <f>+'[1]2019'!E23-E23</f>
        <v>1</v>
      </c>
      <c r="F82" s="78">
        <f>+'[1]2019'!F23-F23</f>
        <v>0</v>
      </c>
      <c r="G82" s="78">
        <f>+'[1]2019'!G23-G23</f>
        <v>1</v>
      </c>
      <c r="H82" s="78">
        <f>+'[1]2019'!H23-H23</f>
        <v>1</v>
      </c>
      <c r="I82" s="78">
        <f>+'[1]2019'!I23-I23</f>
        <v>0</v>
      </c>
      <c r="J82" s="15">
        <f t="shared" si="6"/>
        <v>3</v>
      </c>
      <c r="K82" s="16">
        <f t="shared" si="7"/>
        <v>3</v>
      </c>
    </row>
    <row r="83" spans="1:11" x14ac:dyDescent="0.2">
      <c r="A83" s="9" t="s">
        <v>36</v>
      </c>
      <c r="B83" s="10">
        <v>1952</v>
      </c>
      <c r="C83" s="11"/>
      <c r="D83" s="19">
        <f t="shared" si="5"/>
        <v>2</v>
      </c>
      <c r="E83" s="78">
        <f>+'[1]2019'!E24-E24</f>
        <v>1</v>
      </c>
      <c r="F83" s="78">
        <f>+'[1]2019'!F24-F24</f>
        <v>0</v>
      </c>
      <c r="G83" s="78">
        <f>+'[1]2019'!G24-G24</f>
        <v>0</v>
      </c>
      <c r="H83" s="78">
        <f>+'[1]2019'!H24-H24</f>
        <v>1</v>
      </c>
      <c r="I83" s="78">
        <f>+'[1]2019'!I24-I24</f>
        <v>0</v>
      </c>
      <c r="J83" s="15">
        <f t="shared" si="6"/>
        <v>2</v>
      </c>
      <c r="K83" s="16">
        <f t="shared" si="7"/>
        <v>2</v>
      </c>
    </row>
    <row r="84" spans="1:11" x14ac:dyDescent="0.2">
      <c r="A84" s="29" t="s">
        <v>37</v>
      </c>
      <c r="B84" s="10">
        <v>2050</v>
      </c>
      <c r="C84" s="30"/>
      <c r="D84" s="19">
        <f t="shared" si="5"/>
        <v>5</v>
      </c>
      <c r="E84" s="78">
        <f>+'[1]2019'!E25-E25</f>
        <v>1</v>
      </c>
      <c r="F84" s="78">
        <f>+'[1]2019'!F25-F25</f>
        <v>1</v>
      </c>
      <c r="G84" s="78">
        <f>+'[1]2019'!G25-G25</f>
        <v>0</v>
      </c>
      <c r="H84" s="78">
        <f>+'[1]2019'!H25-H25</f>
        <v>0</v>
      </c>
      <c r="I84" s="78">
        <f>+'[1]2019'!I25-I25</f>
        <v>0</v>
      </c>
      <c r="J84" s="15">
        <f t="shared" si="6"/>
        <v>2</v>
      </c>
      <c r="K84" s="16">
        <f t="shared" si="7"/>
        <v>2</v>
      </c>
    </row>
    <row r="85" spans="1:11" x14ac:dyDescent="0.2">
      <c r="A85" s="34" t="s">
        <v>38</v>
      </c>
      <c r="B85" s="10">
        <f>1874+160.8</f>
        <v>2034.8</v>
      </c>
      <c r="C85" s="79"/>
      <c r="D85" s="19">
        <f t="shared" si="5"/>
        <v>4</v>
      </c>
      <c r="E85" s="78">
        <f>+'[1]2019'!E26-E26</f>
        <v>0</v>
      </c>
      <c r="F85" s="78">
        <f>+'[1]2019'!F26-F26</f>
        <v>0</v>
      </c>
      <c r="G85" s="78">
        <f>+'[1]2019'!G26-G26</f>
        <v>1</v>
      </c>
      <c r="H85" s="78">
        <f>+'[1]2019'!H26-H26</f>
        <v>0</v>
      </c>
      <c r="I85" s="78">
        <f>+'[1]2019'!I26-I26</f>
        <v>-1</v>
      </c>
      <c r="J85" s="15">
        <f t="shared" si="6"/>
        <v>0</v>
      </c>
      <c r="K85" s="16">
        <f t="shared" si="7"/>
        <v>0</v>
      </c>
    </row>
    <row r="86" spans="1:11" x14ac:dyDescent="0.2">
      <c r="A86" s="34" t="s">
        <v>39</v>
      </c>
      <c r="B86" s="10">
        <v>3182</v>
      </c>
      <c r="C86" s="79"/>
      <c r="D86" s="19">
        <f t="shared" si="5"/>
        <v>2</v>
      </c>
      <c r="E86" s="78">
        <f>+'[1]2019'!E27-E27</f>
        <v>0</v>
      </c>
      <c r="F86" s="78">
        <f>+'[1]2019'!F27-F27</f>
        <v>1</v>
      </c>
      <c r="G86" s="78">
        <f>+'[1]2019'!G27-G27</f>
        <v>0</v>
      </c>
      <c r="H86" s="78">
        <f>+'[1]2019'!H27-H27</f>
        <v>0</v>
      </c>
      <c r="I86" s="78">
        <f>+'[1]2019'!I27-I27</f>
        <v>0</v>
      </c>
      <c r="J86" s="15">
        <f t="shared" si="6"/>
        <v>1</v>
      </c>
      <c r="K86" s="16">
        <f t="shared" si="7"/>
        <v>1</v>
      </c>
    </row>
    <row r="87" spans="1:11" x14ac:dyDescent="0.2">
      <c r="A87" s="34" t="s">
        <v>40</v>
      </c>
      <c r="B87" s="79"/>
      <c r="C87" s="79"/>
      <c r="D87" s="80">
        <f>(16+7)-9-5-9</f>
        <v>0</v>
      </c>
      <c r="E87" s="78">
        <f>+'[1]2019'!E28-E28</f>
        <v>0</v>
      </c>
      <c r="F87" s="78">
        <f>+'[1]2019'!F28-F28</f>
        <v>0</v>
      </c>
      <c r="G87" s="78">
        <f>+'[1]2019'!G28-G28</f>
        <v>0</v>
      </c>
      <c r="H87" s="78">
        <f>+'[1]2019'!H28-H28</f>
        <v>0</v>
      </c>
      <c r="I87" s="78">
        <f>+'[1]2019'!I28-I28</f>
        <v>0</v>
      </c>
      <c r="J87" s="15">
        <f t="shared" si="6"/>
        <v>0</v>
      </c>
      <c r="K87" s="16">
        <f t="shared" si="7"/>
        <v>0</v>
      </c>
    </row>
    <row r="88" spans="1:11" x14ac:dyDescent="0.2">
      <c r="A88" s="29" t="s">
        <v>71</v>
      </c>
      <c r="B88" s="43">
        <f>SUM(B62:B86)</f>
        <v>82943.600000000006</v>
      </c>
      <c r="C88" s="43">
        <f>SUM(C62:C85)</f>
        <v>0</v>
      </c>
      <c r="D88" s="81">
        <f t="shared" ref="D88:K88" si="8">SUM(D62:D87)</f>
        <v>90</v>
      </c>
      <c r="E88" s="45">
        <f t="shared" si="8"/>
        <v>5</v>
      </c>
      <c r="F88" s="45">
        <f t="shared" si="8"/>
        <v>11</v>
      </c>
      <c r="G88" s="45">
        <f t="shared" si="8"/>
        <v>4</v>
      </c>
      <c r="H88" s="45">
        <f t="shared" si="8"/>
        <v>5</v>
      </c>
      <c r="I88" s="82">
        <f>SUM(I62:I87)</f>
        <v>4</v>
      </c>
      <c r="J88" s="15">
        <f t="shared" si="8"/>
        <v>29</v>
      </c>
      <c r="K88" s="83">
        <f t="shared" si="8"/>
        <v>29</v>
      </c>
    </row>
    <row r="89" spans="1:11" x14ac:dyDescent="0.2">
      <c r="A89" s="34" t="s">
        <v>72</v>
      </c>
      <c r="B89" s="46"/>
      <c r="C89" s="46"/>
      <c r="D89" s="47">
        <f>SUM(E89:I89)</f>
        <v>61</v>
      </c>
      <c r="E89" s="48">
        <f>+E44</f>
        <v>15</v>
      </c>
      <c r="F89" s="48">
        <f>+F44</f>
        <v>8</v>
      </c>
      <c r="G89" s="48">
        <f>+G44</f>
        <v>12</v>
      </c>
      <c r="H89" s="48">
        <f>+H44</f>
        <v>14</v>
      </c>
      <c r="I89" s="48">
        <f>+I44</f>
        <v>12</v>
      </c>
    </row>
    <row r="90" spans="1:11" x14ac:dyDescent="0.2">
      <c r="A90" s="34" t="s">
        <v>73</v>
      </c>
      <c r="D90" s="5">
        <f>SUM(E90:I90)</f>
        <v>90</v>
      </c>
      <c r="E90" s="5">
        <f>SUM(E88:E89)</f>
        <v>20</v>
      </c>
      <c r="F90" s="5">
        <f>SUM(F88:F89)</f>
        <v>19</v>
      </c>
      <c r="G90" s="5">
        <f>SUM(G88:G89)</f>
        <v>16</v>
      </c>
      <c r="H90" s="5">
        <f>SUM(H88:H89)</f>
        <v>19</v>
      </c>
      <c r="I90" s="5">
        <f>SUM(I88:I89)</f>
        <v>16</v>
      </c>
    </row>
    <row r="91" spans="1:11" x14ac:dyDescent="0.2">
      <c r="A91" s="46" t="s">
        <v>74</v>
      </c>
      <c r="D91" s="18">
        <f t="shared" ref="D91:I91" si="9">+D31</f>
        <v>90</v>
      </c>
      <c r="E91" s="18">
        <f t="shared" si="9"/>
        <v>19.8</v>
      </c>
      <c r="F91" s="18">
        <f t="shared" si="9"/>
        <v>15.749999999999998</v>
      </c>
      <c r="G91" s="18">
        <f t="shared" si="9"/>
        <v>15.749999999999998</v>
      </c>
      <c r="H91" s="18">
        <f t="shared" si="9"/>
        <v>19.8</v>
      </c>
      <c r="I91" s="18">
        <f t="shared" si="9"/>
        <v>18.899999999999999</v>
      </c>
    </row>
    <row r="92" spans="1:11" x14ac:dyDescent="0.2">
      <c r="A92" s="34" t="s">
        <v>75</v>
      </c>
      <c r="E92" s="84">
        <f>+E91-E90</f>
        <v>-0.19999999999999929</v>
      </c>
      <c r="F92" s="84">
        <f>+F91-F90</f>
        <v>-3.2500000000000018</v>
      </c>
      <c r="G92" s="84">
        <f>+G91-G90</f>
        <v>-0.25000000000000178</v>
      </c>
      <c r="H92" s="84">
        <f>+H91-H90</f>
        <v>0.80000000000000071</v>
      </c>
      <c r="I92" s="84">
        <f>+I91-I90</f>
        <v>2.8999999999999986</v>
      </c>
    </row>
    <row r="93" spans="1:11" x14ac:dyDescent="0.2">
      <c r="A93" s="34" t="s">
        <v>76</v>
      </c>
      <c r="E93" s="42">
        <f>+'[1]Felte_dyr samlet 2016-2020'!E49</f>
        <v>0.22093023255813954</v>
      </c>
      <c r="F93" s="42">
        <f>+'[1]Felte_dyr samlet 2016-2020'!F49</f>
        <v>0.16666666666666666</v>
      </c>
      <c r="G93" s="42">
        <f>+'[1]Felte_dyr samlet 2016-2020'!G49</f>
        <v>0.18992248062015504</v>
      </c>
      <c r="H93" s="42">
        <f>+'[1]Felte_dyr samlet 2016-2020'!H49</f>
        <v>0.21705426356589147</v>
      </c>
      <c r="I93" s="42">
        <f>+'[1]Felte_dyr samlet 2016-2020'!I49</f>
        <v>0.20542635658914729</v>
      </c>
    </row>
    <row r="94" spans="1:11" x14ac:dyDescent="0.2">
      <c r="A94" s="85" t="s">
        <v>77</v>
      </c>
      <c r="B94" s="86"/>
      <c r="C94" s="86"/>
      <c r="D94" s="86"/>
      <c r="E94" s="87">
        <f>+D34</f>
        <v>0.22</v>
      </c>
      <c r="F94" s="87">
        <f>+D35</f>
        <v>0.17499999999999999</v>
      </c>
      <c r="G94" s="87">
        <f>+D36</f>
        <v>0.17499999999999999</v>
      </c>
      <c r="H94" s="87">
        <f>+D37</f>
        <v>0.22</v>
      </c>
      <c r="I94" s="87">
        <f>+D38</f>
        <v>0.21</v>
      </c>
    </row>
    <row r="95" spans="1:11" x14ac:dyDescent="0.2">
      <c r="A95" s="88" t="s">
        <v>78</v>
      </c>
      <c r="B95" s="89"/>
      <c r="C95" s="89"/>
      <c r="D95" s="89"/>
      <c r="E95" s="90">
        <f>+E94/E93-1</f>
        <v>-4.2105263157894424E-3</v>
      </c>
      <c r="F95" s="90">
        <f>+F94/F93-1</f>
        <v>5.0000000000000044E-2</v>
      </c>
      <c r="G95" s="90">
        <f>+G94/G93-1</f>
        <v>-7.8571428571428625E-2</v>
      </c>
      <c r="H95" s="90">
        <f>+H94/H93-1</f>
        <v>1.3571428571428568E-2</v>
      </c>
      <c r="I95" s="90">
        <f>+I94/I93-1</f>
        <v>2.2264150943396066E-2</v>
      </c>
    </row>
    <row r="97" spans="1:10" x14ac:dyDescent="0.2">
      <c r="E97" s="49">
        <f>+E93-E94</f>
        <v>9.3023255813953765E-4</v>
      </c>
      <c r="F97" s="49">
        <f>+F93-F94</f>
        <v>-8.3333333333333315E-3</v>
      </c>
      <c r="G97" s="49">
        <f>+G93-G94</f>
        <v>1.4922480620155054E-2</v>
      </c>
      <c r="H97" s="49">
        <f>+H93-H94</f>
        <v>-2.9457364341085313E-3</v>
      </c>
      <c r="I97" s="49">
        <f>+I93-I94</f>
        <v>-4.5736434108527013E-3</v>
      </c>
    </row>
    <row r="99" spans="1:10" ht="15.75" x14ac:dyDescent="0.25">
      <c r="A99" s="91" t="s">
        <v>79</v>
      </c>
      <c r="B99" s="92"/>
      <c r="C99" s="92"/>
      <c r="D99" s="92"/>
      <c r="E99" s="93" t="s">
        <v>80</v>
      </c>
      <c r="F99" s="93" t="s">
        <v>81</v>
      </c>
      <c r="G99" s="93" t="s">
        <v>82</v>
      </c>
      <c r="H99" s="93" t="s">
        <v>83</v>
      </c>
      <c r="I99" s="93" t="s">
        <v>84</v>
      </c>
      <c r="J99" s="93" t="s">
        <v>85</v>
      </c>
    </row>
    <row r="100" spans="1:10" x14ac:dyDescent="0.2">
      <c r="A100" s="93" t="s">
        <v>86</v>
      </c>
      <c r="B100" s="92"/>
      <c r="C100" s="92"/>
      <c r="D100" s="92"/>
      <c r="E100" s="92">
        <f t="shared" ref="E100:I102" si="10">+E41</f>
        <v>17</v>
      </c>
      <c r="F100" s="92">
        <f t="shared" si="10"/>
        <v>13</v>
      </c>
      <c r="G100" s="92">
        <f t="shared" si="10"/>
        <v>12</v>
      </c>
      <c r="H100" s="92">
        <f t="shared" si="10"/>
        <v>12</v>
      </c>
      <c r="I100" s="92">
        <f t="shared" si="10"/>
        <v>14</v>
      </c>
      <c r="J100" s="93">
        <f>SUM(E100:I100)</f>
        <v>68</v>
      </c>
    </row>
    <row r="101" spans="1:10" x14ac:dyDescent="0.2">
      <c r="A101" s="93" t="s">
        <v>87</v>
      </c>
      <c r="B101" s="92"/>
      <c r="C101" s="92"/>
      <c r="D101" s="92"/>
      <c r="E101" s="92">
        <f t="shared" si="10"/>
        <v>10</v>
      </c>
      <c r="F101" s="92">
        <f t="shared" si="10"/>
        <v>11</v>
      </c>
      <c r="G101" s="92">
        <f t="shared" si="10"/>
        <v>12</v>
      </c>
      <c r="H101" s="92">
        <f t="shared" si="10"/>
        <v>11</v>
      </c>
      <c r="I101" s="92">
        <f t="shared" si="10"/>
        <v>12</v>
      </c>
      <c r="J101" s="93">
        <f>SUM(E101:I101)</f>
        <v>56</v>
      </c>
    </row>
    <row r="102" spans="1:10" x14ac:dyDescent="0.2">
      <c r="A102" s="93" t="s">
        <v>88</v>
      </c>
      <c r="B102" s="92"/>
      <c r="C102" s="92"/>
      <c r="D102" s="92"/>
      <c r="E102" s="92">
        <f t="shared" si="10"/>
        <v>15</v>
      </c>
      <c r="F102" s="92">
        <f t="shared" si="10"/>
        <v>11</v>
      </c>
      <c r="G102" s="92">
        <f t="shared" si="10"/>
        <v>13</v>
      </c>
      <c r="H102" s="92">
        <f t="shared" si="10"/>
        <v>19</v>
      </c>
      <c r="I102" s="92">
        <f t="shared" si="10"/>
        <v>15</v>
      </c>
      <c r="J102" s="93">
        <f>SUM(E102:I102)</f>
        <v>73</v>
      </c>
    </row>
    <row r="103" spans="1:10" x14ac:dyDescent="0.2">
      <c r="A103" s="93" t="s">
        <v>89</v>
      </c>
      <c r="B103" s="92"/>
      <c r="C103" s="92"/>
      <c r="D103" s="92"/>
      <c r="E103" s="92">
        <f>+E44</f>
        <v>15</v>
      </c>
      <c r="F103" s="92">
        <f>+F44</f>
        <v>8</v>
      </c>
      <c r="G103" s="92">
        <f>+G44</f>
        <v>12</v>
      </c>
      <c r="H103" s="92">
        <f>+H44</f>
        <v>14</v>
      </c>
      <c r="I103" s="92">
        <f>+I44</f>
        <v>12</v>
      </c>
      <c r="J103" s="93">
        <f>SUM(E103:I103)</f>
        <v>61</v>
      </c>
    </row>
    <row r="104" spans="1:10" x14ac:dyDescent="0.2">
      <c r="A104" s="93" t="s">
        <v>90</v>
      </c>
      <c r="B104" s="92"/>
      <c r="C104" s="92"/>
      <c r="D104" s="92"/>
      <c r="E104" s="92"/>
      <c r="F104" s="92"/>
      <c r="G104" s="92"/>
      <c r="H104" s="92"/>
      <c r="I104" s="92"/>
      <c r="J104" s="92"/>
    </row>
    <row r="105" spans="1:10" x14ac:dyDescent="0.2">
      <c r="A105" s="94" t="s">
        <v>91</v>
      </c>
      <c r="B105" s="94"/>
      <c r="C105" s="94"/>
      <c r="D105" s="94"/>
      <c r="E105" s="94">
        <f t="shared" ref="E105:J105" si="11">SUM(E100:E104)</f>
        <v>57</v>
      </c>
      <c r="F105" s="94">
        <f t="shared" si="11"/>
        <v>43</v>
      </c>
      <c r="G105" s="94">
        <f t="shared" si="11"/>
        <v>49</v>
      </c>
      <c r="H105" s="94">
        <f t="shared" si="11"/>
        <v>56</v>
      </c>
      <c r="I105" s="94">
        <f t="shared" si="11"/>
        <v>53</v>
      </c>
      <c r="J105" s="94">
        <f t="shared" si="11"/>
        <v>258</v>
      </c>
    </row>
    <row r="106" spans="1:10" x14ac:dyDescent="0.2">
      <c r="A106" s="95" t="s">
        <v>92</v>
      </c>
      <c r="B106" s="95"/>
      <c r="C106" s="95"/>
      <c r="D106" s="95"/>
      <c r="E106" s="96">
        <f>+E105/$J$105</f>
        <v>0.22093023255813954</v>
      </c>
      <c r="F106" s="96">
        <f>+F105/$J$105</f>
        <v>0.16666666666666666</v>
      </c>
      <c r="G106" s="96">
        <f>+G105/$J$105</f>
        <v>0.18992248062015504</v>
      </c>
      <c r="H106" s="96">
        <f>+H105/$J$105</f>
        <v>0.21705426356589147</v>
      </c>
      <c r="I106" s="96">
        <f>+I105/$J$105</f>
        <v>0.20542635658914729</v>
      </c>
      <c r="J106" s="92"/>
    </row>
    <row r="107" spans="1:10" x14ac:dyDescent="0.2">
      <c r="A107" s="97" t="s">
        <v>93</v>
      </c>
      <c r="B107" s="97"/>
      <c r="C107" s="97"/>
      <c r="D107" s="97"/>
      <c r="E107" s="98">
        <f>+D34</f>
        <v>0.22</v>
      </c>
      <c r="F107" s="98">
        <f>+D35</f>
        <v>0.17499999999999999</v>
      </c>
      <c r="G107" s="98">
        <f>+D36</f>
        <v>0.17499999999999999</v>
      </c>
      <c r="H107" s="98">
        <f>+D37</f>
        <v>0.22</v>
      </c>
      <c r="I107" s="98">
        <f>+D38</f>
        <v>0.21</v>
      </c>
      <c r="J107" s="92"/>
    </row>
    <row r="108" spans="1:10" x14ac:dyDescent="0.2">
      <c r="A108" s="93" t="s">
        <v>94</v>
      </c>
      <c r="B108" s="92"/>
      <c r="C108" s="92"/>
      <c r="D108" s="92"/>
      <c r="E108" s="99">
        <f>+E107*$J$105</f>
        <v>56.76</v>
      </c>
      <c r="F108" s="99">
        <f>+$J$105*F107</f>
        <v>45.15</v>
      </c>
      <c r="G108" s="99">
        <f>+$J$105*G107</f>
        <v>45.15</v>
      </c>
      <c r="H108" s="99">
        <f>+$J$105*H107</f>
        <v>56.76</v>
      </c>
      <c r="I108" s="99">
        <f>+$J$105*I107</f>
        <v>54.18</v>
      </c>
      <c r="J108" s="99">
        <f>SUM(E108:I108)</f>
        <v>258</v>
      </c>
    </row>
    <row r="109" spans="1:10" x14ac:dyDescent="0.2">
      <c r="A109" s="93" t="s">
        <v>95</v>
      </c>
      <c r="B109" s="92"/>
      <c r="C109" s="92"/>
      <c r="D109" s="92"/>
      <c r="E109" s="100">
        <f>+E108-E105</f>
        <v>-0.24000000000000199</v>
      </c>
      <c r="F109" s="100">
        <f>+F108-F105</f>
        <v>2.1499999999999986</v>
      </c>
      <c r="G109" s="100">
        <f>+G108-G105</f>
        <v>-3.8500000000000014</v>
      </c>
      <c r="H109" s="100">
        <f>+H108-H105</f>
        <v>0.75999999999999801</v>
      </c>
      <c r="I109" s="100">
        <f>+I108-I105</f>
        <v>1.1799999999999997</v>
      </c>
      <c r="J109" s="92"/>
    </row>
  </sheetData>
  <sheetProtection selectLockedCells="1" selectUnlockedCells="1"/>
  <mergeCells count="6">
    <mergeCell ref="A1:A2"/>
    <mergeCell ref="D1:D2"/>
    <mergeCell ref="E1:E2"/>
    <mergeCell ref="A60:A61"/>
    <mergeCell ref="D60:D61"/>
    <mergeCell ref="E60:E6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2019_felte_dyr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Kåre Torsvik</dc:creator>
  <cp:lastModifiedBy>Kåre Torsvik</cp:lastModifiedBy>
  <dcterms:created xsi:type="dcterms:W3CDTF">2019-12-22T09:05:24Z</dcterms:created>
  <dcterms:modified xsi:type="dcterms:W3CDTF">2019-12-22T09:05:56Z</dcterms:modified>
</cp:coreProperties>
</file>