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9\"/>
    </mc:Choice>
  </mc:AlternateContent>
  <xr:revisionPtr revIDLastSave="0" documentId="8_{E2FF3AB8-3B4C-40DD-A95D-1F1FE15988A0}" xr6:coauthVersionLast="45" xr6:coauthVersionMax="45" xr10:uidLastSave="{00000000-0000-0000-0000-000000000000}"/>
  <bookViews>
    <workbookView xWindow="-120" yWindow="-120" windowWidth="29040" windowHeight="15840" xr2:uid="{E7DB725D-49DF-47C6-BD1A-CF8029EDD45F}"/>
  </bookViews>
  <sheets>
    <sheet name="2019_felte_dy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7" i="1" l="1"/>
  <c r="H107" i="1"/>
  <c r="G107" i="1"/>
  <c r="F107" i="1"/>
  <c r="E107" i="1"/>
  <c r="I94" i="1"/>
  <c r="I95" i="1" s="1"/>
  <c r="H94" i="1"/>
  <c r="H95" i="1" s="1"/>
  <c r="G94" i="1"/>
  <c r="G95" i="1" s="1"/>
  <c r="F94" i="1"/>
  <c r="E94" i="1"/>
  <c r="I93" i="1"/>
  <c r="I97" i="1" s="1"/>
  <c r="H93" i="1"/>
  <c r="H97" i="1" s="1"/>
  <c r="G93" i="1"/>
  <c r="G97" i="1" s="1"/>
  <c r="F93" i="1"/>
  <c r="F95" i="1" s="1"/>
  <c r="E93" i="1"/>
  <c r="E95" i="1" s="1"/>
  <c r="C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B85" i="1"/>
  <c r="I84" i="1"/>
  <c r="H84" i="1"/>
  <c r="G84" i="1"/>
  <c r="F84" i="1"/>
  <c r="E84" i="1"/>
  <c r="J84" i="1" s="1"/>
  <c r="K84" i="1" s="1"/>
  <c r="I83" i="1"/>
  <c r="H83" i="1"/>
  <c r="G83" i="1"/>
  <c r="F83" i="1"/>
  <c r="E83" i="1"/>
  <c r="J83" i="1" s="1"/>
  <c r="K83" i="1" s="1"/>
  <c r="D83" i="1"/>
  <c r="I82" i="1"/>
  <c r="H82" i="1"/>
  <c r="G82" i="1"/>
  <c r="F82" i="1"/>
  <c r="E82" i="1"/>
  <c r="J82" i="1" s="1"/>
  <c r="K82" i="1" s="1"/>
  <c r="D82" i="1"/>
  <c r="B82" i="1"/>
  <c r="I81" i="1"/>
  <c r="H81" i="1"/>
  <c r="G81" i="1"/>
  <c r="F81" i="1"/>
  <c r="E81" i="1"/>
  <c r="J81" i="1" s="1"/>
  <c r="K81" i="1" s="1"/>
  <c r="D81" i="1"/>
  <c r="I80" i="1"/>
  <c r="H80" i="1"/>
  <c r="G80" i="1"/>
  <c r="F80" i="1"/>
  <c r="E80" i="1"/>
  <c r="J80" i="1" s="1"/>
  <c r="K80" i="1" s="1"/>
  <c r="B80" i="1"/>
  <c r="I79" i="1"/>
  <c r="H79" i="1"/>
  <c r="G79" i="1"/>
  <c r="F79" i="1"/>
  <c r="J79" i="1" s="1"/>
  <c r="K79" i="1" s="1"/>
  <c r="E79" i="1"/>
  <c r="D79" i="1"/>
  <c r="I78" i="1"/>
  <c r="H78" i="1"/>
  <c r="G78" i="1"/>
  <c r="F78" i="1"/>
  <c r="J78" i="1" s="1"/>
  <c r="K78" i="1" s="1"/>
  <c r="E78" i="1"/>
  <c r="D78" i="1"/>
  <c r="I77" i="1"/>
  <c r="H77" i="1"/>
  <c r="G77" i="1"/>
  <c r="F77" i="1"/>
  <c r="J77" i="1" s="1"/>
  <c r="K77" i="1" s="1"/>
  <c r="E77" i="1"/>
  <c r="D77" i="1"/>
  <c r="I76" i="1"/>
  <c r="H76" i="1"/>
  <c r="G76" i="1"/>
  <c r="F76" i="1"/>
  <c r="I75" i="1"/>
  <c r="H75" i="1"/>
  <c r="G75" i="1"/>
  <c r="F75" i="1"/>
  <c r="J75" i="1" s="1"/>
  <c r="K75" i="1" s="1"/>
  <c r="E75" i="1"/>
  <c r="D75" i="1"/>
  <c r="I74" i="1"/>
  <c r="H74" i="1"/>
  <c r="G74" i="1"/>
  <c r="F74" i="1"/>
  <c r="J74" i="1" s="1"/>
  <c r="K74" i="1" s="1"/>
  <c r="E74" i="1"/>
  <c r="H73" i="1"/>
  <c r="G73" i="1"/>
  <c r="F73" i="1"/>
  <c r="E73" i="1"/>
  <c r="I72" i="1"/>
  <c r="H72" i="1"/>
  <c r="G72" i="1"/>
  <c r="F72" i="1"/>
  <c r="J72" i="1" s="1"/>
  <c r="K72" i="1" s="1"/>
  <c r="E72" i="1"/>
  <c r="I71" i="1"/>
  <c r="H71" i="1"/>
  <c r="G71" i="1"/>
  <c r="F71" i="1"/>
  <c r="J71" i="1" s="1"/>
  <c r="K71" i="1" s="1"/>
  <c r="E71" i="1"/>
  <c r="B71" i="1"/>
  <c r="I70" i="1"/>
  <c r="H70" i="1"/>
  <c r="G70" i="1"/>
  <c r="J70" i="1" s="1"/>
  <c r="K70" i="1" s="1"/>
  <c r="F70" i="1"/>
  <c r="E70" i="1"/>
  <c r="I69" i="1"/>
  <c r="H69" i="1"/>
  <c r="G69" i="1"/>
  <c r="J69" i="1" s="1"/>
  <c r="K69" i="1" s="1"/>
  <c r="F69" i="1"/>
  <c r="E69" i="1"/>
  <c r="D69" i="1"/>
  <c r="I68" i="1"/>
  <c r="H68" i="1"/>
  <c r="G68" i="1"/>
  <c r="J68" i="1" s="1"/>
  <c r="K68" i="1" s="1"/>
  <c r="F68" i="1"/>
  <c r="E68" i="1"/>
  <c r="D68" i="1"/>
  <c r="B68" i="1"/>
  <c r="I67" i="1"/>
  <c r="H67" i="1"/>
  <c r="G67" i="1"/>
  <c r="F67" i="1"/>
  <c r="E67" i="1"/>
  <c r="J67" i="1" s="1"/>
  <c r="K67" i="1" s="1"/>
  <c r="B67" i="1"/>
  <c r="B88" i="1" s="1"/>
  <c r="I66" i="1"/>
  <c r="H66" i="1"/>
  <c r="G66" i="1"/>
  <c r="F66" i="1"/>
  <c r="E66" i="1"/>
  <c r="J66" i="1" s="1"/>
  <c r="K66" i="1" s="1"/>
  <c r="D66" i="1"/>
  <c r="I65" i="1"/>
  <c r="H65" i="1"/>
  <c r="F65" i="1"/>
  <c r="E65" i="1"/>
  <c r="D65" i="1"/>
  <c r="I64" i="1"/>
  <c r="H64" i="1"/>
  <c r="G64" i="1"/>
  <c r="F64" i="1"/>
  <c r="E64" i="1"/>
  <c r="J64" i="1" s="1"/>
  <c r="K64" i="1" s="1"/>
  <c r="I63" i="1"/>
  <c r="H63" i="1"/>
  <c r="G63" i="1"/>
  <c r="F63" i="1"/>
  <c r="E63" i="1"/>
  <c r="J63" i="1" s="1"/>
  <c r="K63" i="1" s="1"/>
  <c r="D63" i="1"/>
  <c r="I62" i="1"/>
  <c r="F62" i="1"/>
  <c r="F88" i="1" s="1"/>
  <c r="L60" i="1"/>
  <c r="J45" i="1"/>
  <c r="I43" i="1"/>
  <c r="I102" i="1" s="1"/>
  <c r="H43" i="1"/>
  <c r="H102" i="1" s="1"/>
  <c r="G43" i="1"/>
  <c r="G102" i="1" s="1"/>
  <c r="F43" i="1"/>
  <c r="F102" i="1" s="1"/>
  <c r="E43" i="1"/>
  <c r="E102" i="1" s="1"/>
  <c r="J102" i="1" s="1"/>
  <c r="I42" i="1"/>
  <c r="I101" i="1" s="1"/>
  <c r="H42" i="1"/>
  <c r="H101" i="1" s="1"/>
  <c r="G42" i="1"/>
  <c r="G101" i="1" s="1"/>
  <c r="F42" i="1"/>
  <c r="F101" i="1" s="1"/>
  <c r="E42" i="1"/>
  <c r="E101" i="1" s="1"/>
  <c r="I41" i="1"/>
  <c r="H41" i="1"/>
  <c r="H100" i="1" s="1"/>
  <c r="G41" i="1"/>
  <c r="G100" i="1" s="1"/>
  <c r="F41" i="1"/>
  <c r="F100" i="1" s="1"/>
  <c r="E41" i="1"/>
  <c r="E100" i="1" s="1"/>
  <c r="I40" i="1"/>
  <c r="H40" i="1"/>
  <c r="G40" i="1"/>
  <c r="F40" i="1"/>
  <c r="E40" i="1"/>
  <c r="G38" i="1"/>
  <c r="F38" i="1"/>
  <c r="F37" i="1"/>
  <c r="G37" i="1" s="1"/>
  <c r="F36" i="1"/>
  <c r="G30" i="1" s="1"/>
  <c r="F35" i="1"/>
  <c r="G35" i="1" s="1"/>
  <c r="G34" i="1"/>
  <c r="F34" i="1"/>
  <c r="T30" i="1"/>
  <c r="I30" i="1"/>
  <c r="F30" i="1"/>
  <c r="E30" i="1"/>
  <c r="H29" i="1"/>
  <c r="H44" i="1" s="1"/>
  <c r="G29" i="1"/>
  <c r="G44" i="1" s="1"/>
  <c r="F29" i="1"/>
  <c r="F44" i="1" s="1"/>
  <c r="C29" i="1"/>
  <c r="K28" i="1"/>
  <c r="J28" i="1"/>
  <c r="J27" i="1"/>
  <c r="K27" i="1" s="1"/>
  <c r="K26" i="1"/>
  <c r="L26" i="1" s="1"/>
  <c r="J26" i="1"/>
  <c r="Q26" i="1" s="1"/>
  <c r="D26" i="1"/>
  <c r="D85" i="1" s="1"/>
  <c r="B26" i="1"/>
  <c r="J25" i="1"/>
  <c r="D25" i="1"/>
  <c r="D84" i="1" s="1"/>
  <c r="W24" i="1"/>
  <c r="W25" i="1" s="1"/>
  <c r="K24" i="1"/>
  <c r="L24" i="1" s="1"/>
  <c r="J24" i="1"/>
  <c r="Q24" i="1" s="1"/>
  <c r="Q23" i="1"/>
  <c r="K23" i="1"/>
  <c r="L23" i="1" s="1"/>
  <c r="J23" i="1"/>
  <c r="B23" i="1"/>
  <c r="W22" i="1"/>
  <c r="X19" i="1" s="1"/>
  <c r="X20" i="1" s="1"/>
  <c r="Y20" i="1" s="1"/>
  <c r="K22" i="1"/>
  <c r="L22" i="1" s="1"/>
  <c r="J22" i="1"/>
  <c r="Q22" i="1" s="1"/>
  <c r="J21" i="1"/>
  <c r="K21" i="1" s="1"/>
  <c r="D21" i="1"/>
  <c r="D80" i="1" s="1"/>
  <c r="B21" i="1"/>
  <c r="Q20" i="1"/>
  <c r="J20" i="1"/>
  <c r="K20" i="1" s="1"/>
  <c r="L20" i="1" s="1"/>
  <c r="J19" i="1"/>
  <c r="K18" i="1"/>
  <c r="L18" i="1" s="1"/>
  <c r="J18" i="1"/>
  <c r="Q18" i="1" s="1"/>
  <c r="J17" i="1"/>
  <c r="E17" i="1"/>
  <c r="E76" i="1" s="1"/>
  <c r="J76" i="1" s="1"/>
  <c r="K76" i="1" s="1"/>
  <c r="D17" i="1"/>
  <c r="D76" i="1" s="1"/>
  <c r="J16" i="1"/>
  <c r="J15" i="1"/>
  <c r="K15" i="1" s="1"/>
  <c r="D15" i="1"/>
  <c r="D74" i="1" s="1"/>
  <c r="I14" i="1"/>
  <c r="I29" i="1" s="1"/>
  <c r="I44" i="1" s="1"/>
  <c r="D14" i="1"/>
  <c r="D73" i="1" s="1"/>
  <c r="L13" i="1"/>
  <c r="K13" i="1"/>
  <c r="J13" i="1"/>
  <c r="Q13" i="1" s="1"/>
  <c r="D13" i="1"/>
  <c r="D72" i="1" s="1"/>
  <c r="W12" i="1"/>
  <c r="J12" i="1"/>
  <c r="K12" i="1" s="1"/>
  <c r="D12" i="1"/>
  <c r="D71" i="1" s="1"/>
  <c r="B12" i="1"/>
  <c r="K11" i="1"/>
  <c r="Q11" i="1" s="1"/>
  <c r="J11" i="1"/>
  <c r="D11" i="1"/>
  <c r="D70" i="1" s="1"/>
  <c r="J10" i="1"/>
  <c r="Q10" i="1" s="1"/>
  <c r="X9" i="1"/>
  <c r="Q9" i="1"/>
  <c r="J9" i="1"/>
  <c r="K9" i="1" s="1"/>
  <c r="L9" i="1" s="1"/>
  <c r="B9" i="1"/>
  <c r="J8" i="1"/>
  <c r="D8" i="1"/>
  <c r="D67" i="1" s="1"/>
  <c r="B8" i="1"/>
  <c r="B29" i="1" s="1"/>
  <c r="J7" i="1"/>
  <c r="G6" i="1"/>
  <c r="G65" i="1" s="1"/>
  <c r="K5" i="1"/>
  <c r="L5" i="1" s="1"/>
  <c r="J5" i="1"/>
  <c r="Q5" i="1" s="1"/>
  <c r="D5" i="1"/>
  <c r="D29" i="1" s="1"/>
  <c r="D31" i="1" s="1"/>
  <c r="K4" i="1"/>
  <c r="L4" i="1" s="1"/>
  <c r="J4" i="1"/>
  <c r="Q4" i="1" s="1"/>
  <c r="J3" i="1"/>
  <c r="I3" i="1"/>
  <c r="H3" i="1"/>
  <c r="H62" i="1" s="1"/>
  <c r="H88" i="1" s="1"/>
  <c r="G3" i="1"/>
  <c r="G62" i="1" s="1"/>
  <c r="G88" i="1" s="1"/>
  <c r="E3" i="1"/>
  <c r="E62" i="1" s="1"/>
  <c r="D3" i="1"/>
  <c r="D32" i="1" s="1"/>
  <c r="D91" i="1" l="1"/>
  <c r="I31" i="1"/>
  <c r="I91" i="1" s="1"/>
  <c r="H31" i="1"/>
  <c r="H91" i="1" s="1"/>
  <c r="G31" i="1"/>
  <c r="G91" i="1" s="1"/>
  <c r="F31" i="1"/>
  <c r="F91" i="1" s="1"/>
  <c r="E31" i="1"/>
  <c r="E91" i="1" s="1"/>
  <c r="Q27" i="1"/>
  <c r="L27" i="1"/>
  <c r="G90" i="1"/>
  <c r="Q12" i="1"/>
  <c r="L12" i="1"/>
  <c r="E88" i="1"/>
  <c r="J62" i="1"/>
  <c r="I89" i="1"/>
  <c r="I103" i="1"/>
  <c r="Q15" i="1"/>
  <c r="L15" i="1"/>
  <c r="I46" i="1"/>
  <c r="F89" i="1"/>
  <c r="F90" i="1" s="1"/>
  <c r="F103" i="1"/>
  <c r="F105" i="1" s="1"/>
  <c r="G39" i="1"/>
  <c r="J101" i="1"/>
  <c r="G89" i="1"/>
  <c r="G103" i="1"/>
  <c r="G105" i="1" s="1"/>
  <c r="H89" i="1"/>
  <c r="H90" i="1" s="1"/>
  <c r="H103" i="1"/>
  <c r="H105" i="1" s="1"/>
  <c r="J65" i="1"/>
  <c r="K65" i="1" s="1"/>
  <c r="Q21" i="1"/>
  <c r="L21" i="1"/>
  <c r="J100" i="1"/>
  <c r="J6" i="1"/>
  <c r="E29" i="1"/>
  <c r="F39" i="1"/>
  <c r="J43" i="1"/>
  <c r="E97" i="1"/>
  <c r="L32" i="1"/>
  <c r="F46" i="1"/>
  <c r="F97" i="1"/>
  <c r="I100" i="1"/>
  <c r="J42" i="1"/>
  <c r="G46" i="1"/>
  <c r="D62" i="1"/>
  <c r="D64" i="1"/>
  <c r="I73" i="1"/>
  <c r="J73" i="1" s="1"/>
  <c r="K73" i="1" s="1"/>
  <c r="K3" i="1"/>
  <c r="K8" i="1"/>
  <c r="L8" i="1" s="1"/>
  <c r="L11" i="1"/>
  <c r="J14" i="1"/>
  <c r="K17" i="1"/>
  <c r="L17" i="1" s="1"/>
  <c r="K19" i="1"/>
  <c r="L19" i="1" s="1"/>
  <c r="G36" i="1"/>
  <c r="H46" i="1"/>
  <c r="J41" i="1"/>
  <c r="Q3" i="1"/>
  <c r="K7" i="1"/>
  <c r="L7" i="1" s="1"/>
  <c r="K10" i="1"/>
  <c r="L10" i="1" s="1"/>
  <c r="K16" i="1"/>
  <c r="L16" i="1" s="1"/>
  <c r="K25" i="1"/>
  <c r="L25" i="1" s="1"/>
  <c r="H30" i="1"/>
  <c r="D30" i="1" s="1"/>
  <c r="Q6" i="1" l="1"/>
  <c r="K6" i="1"/>
  <c r="L6" i="1" s="1"/>
  <c r="L34" i="1"/>
  <c r="Q19" i="1"/>
  <c r="Q16" i="1"/>
  <c r="I88" i="1"/>
  <c r="I90" i="1" s="1"/>
  <c r="I92" i="1" s="1"/>
  <c r="F92" i="1"/>
  <c r="D88" i="1"/>
  <c r="Q7" i="1"/>
  <c r="G92" i="1"/>
  <c r="J29" i="1"/>
  <c r="H92" i="1"/>
  <c r="K29" i="1"/>
  <c r="L29" i="1" s="1"/>
  <c r="L3" i="1"/>
  <c r="Q17" i="1"/>
  <c r="K14" i="1"/>
  <c r="L14" i="1" s="1"/>
  <c r="I105" i="1"/>
  <c r="J32" i="1"/>
  <c r="L33" i="1"/>
  <c r="K33" i="1"/>
  <c r="J33" i="1"/>
  <c r="E44" i="1"/>
  <c r="K32" i="1"/>
  <c r="Q8" i="1"/>
  <c r="Q25" i="1"/>
  <c r="K62" i="1"/>
  <c r="K88" i="1" s="1"/>
  <c r="J88" i="1"/>
  <c r="E103" i="1" l="1"/>
  <c r="J44" i="1"/>
  <c r="J46" i="1" s="1"/>
  <c r="E89" i="1"/>
  <c r="E46" i="1"/>
  <c r="E47" i="1" s="1"/>
  <c r="E49" i="1" s="1"/>
  <c r="Q14" i="1"/>
  <c r="V23" i="1"/>
  <c r="Q29" i="1"/>
  <c r="N33" i="1"/>
  <c r="M33" i="1"/>
  <c r="K34" i="1"/>
  <c r="N32" i="1"/>
  <c r="N34" i="1" s="1"/>
  <c r="J34" i="1"/>
  <c r="M32" i="1"/>
  <c r="M34" i="1" s="1"/>
  <c r="D89" i="1" l="1"/>
  <c r="E90" i="1"/>
  <c r="I47" i="1"/>
  <c r="I49" i="1" s="1"/>
  <c r="H47" i="1"/>
  <c r="H49" i="1" s="1"/>
  <c r="G47" i="1"/>
  <c r="G49" i="1" s="1"/>
  <c r="F47" i="1"/>
  <c r="F49" i="1" s="1"/>
  <c r="F48" i="1"/>
  <c r="J103" i="1"/>
  <c r="J105" i="1" s="1"/>
  <c r="E105" i="1"/>
  <c r="D90" i="1" l="1"/>
  <c r="E92" i="1"/>
  <c r="G108" i="1"/>
  <c r="G109" i="1" s="1"/>
  <c r="F108" i="1"/>
  <c r="F109" i="1" s="1"/>
  <c r="I108" i="1"/>
  <c r="I109" i="1" s="1"/>
  <c r="H108" i="1"/>
  <c r="H109" i="1" s="1"/>
  <c r="E108" i="1"/>
  <c r="G106" i="1"/>
  <c r="F106" i="1"/>
  <c r="H106" i="1"/>
  <c r="I106" i="1"/>
  <c r="E106" i="1"/>
  <c r="E109" i="1" l="1"/>
  <c r="J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  <author/>
  </authors>
  <commentList>
    <comment ref="D3" authorId="0" shapeId="0" xr:uid="{947B5C24-1E19-4A50-9F16-F4CB29D8F198}">
      <text>
        <r>
          <rPr>
            <b/>
            <sz val="9"/>
            <color indexed="81"/>
            <rFont val="Tahoma"/>
            <family val="2"/>
          </rPr>
          <t>Tilleggsløyve kolle + kalv og bukk (6 tagger) 15.09.19 + tillggsløyve kolle, 2 kalver og bukk (6-8 tagger)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A2E77AB9-FDBF-4B01-A2E2-5AF8C4581486}">
      <text>
        <r>
          <rPr>
            <b/>
            <sz val="9"/>
            <color indexed="81"/>
            <rFont val="Tahoma"/>
            <family val="2"/>
          </rPr>
          <t>Kalv, han felt 07.09.2019 15 kg (AF) + Kalv han felt 08.09.19 28 kg (AF) + kalv, ho felt 28.09.19  25 kg (AF) + kalv, ho felt 13.10.19 22 kg (AF) + kalv, ho felt 27.10.19 20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11B39B94-3DE0-45D8-905D-42124B5BFC34}">
      <text>
        <r>
          <rPr>
            <b/>
            <sz val="9"/>
            <color indexed="81"/>
            <rFont val="Tahoma"/>
            <charset val="1"/>
          </rPr>
          <t>Fjoråskolle felt 01.09.19  40 kg (AF) + ungkolle felt 13.09.19  52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 xr:uid="{7AA87631-3EDC-4CC1-9B15-731060BDB274}">
      <text>
        <r>
          <rPr>
            <b/>
            <sz val="9"/>
            <color indexed="81"/>
            <rFont val="Tahoma"/>
            <charset val="1"/>
          </rPr>
          <t>Spissbukk felt 13.09.19 38 kg (AF) + Spissbukk felt 13.09.19 48 kg (AF) + Spissbukk felt 21.09.19 47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" authorId="0" shapeId="0" xr:uid="{DA3BC879-5782-4CE9-B18D-D072C998E3EF}">
      <text>
        <r>
          <rPr>
            <b/>
            <sz val="9"/>
            <color indexed="81"/>
            <rFont val="Tahoma"/>
            <family val="2"/>
          </rPr>
          <t>Kolle felt 03.09.19  78 kg (AF) + Kolle felt 08.09.19 75 kg (AF) + Kolle felt 21.09.19 45 kg (AF) + kolle felt 27.10.2019 54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53FB1EC4-BB22-4CDD-86FD-BA0EB105697A}">
      <text>
        <r>
          <rPr>
            <b/>
            <sz val="9"/>
            <color indexed="81"/>
            <rFont val="Tahoma"/>
            <family val="2"/>
          </rPr>
          <t>Bukk 9 tagger felt 03.09.19 105 kg (AF)</t>
        </r>
        <r>
          <rPr>
            <sz val="9"/>
            <color indexed="81"/>
            <rFont val="Tahoma"/>
            <family val="2"/>
          </rPr>
          <t xml:space="preserve">
+ Bukk 8 tagger felt 06.09.19 135 kg (AF) + bukk, 6 tagger felt 13.10.19 52 kg (AF)</t>
        </r>
      </text>
    </comment>
    <comment ref="D5" authorId="0" shapeId="0" xr:uid="{3C1E8F8D-E08A-4429-8CE5-A6487DC18D76}">
      <text>
        <r>
          <rPr>
            <b/>
            <sz val="9"/>
            <color indexed="81"/>
            <rFont val="Tahoma"/>
            <family val="2"/>
          </rPr>
          <t>Tilleggsløyve kolle + kalv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C8150AF1-8B66-47DF-AF21-E6A661B3A2AB}">
      <text>
        <r>
          <rPr>
            <b/>
            <sz val="9"/>
            <color indexed="81"/>
            <rFont val="Tahoma"/>
            <family val="2"/>
          </rPr>
          <t>Kalv - han - felt 16.11.19 22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 shapeId="0" xr:uid="{23AA617B-04C5-4B78-A5B3-31C3941F1A74}">
      <text>
        <r>
          <rPr>
            <sz val="10"/>
            <color indexed="8"/>
            <rFont val="Segoe UI"/>
          </rPr>
          <t>Spissbukk felt 02.10.19 33 kg (ES)</t>
        </r>
      </text>
    </comment>
    <comment ref="H5" authorId="0" shapeId="0" xr:uid="{5D9D0224-8A99-4BB0-AA69-5050FF014276}">
      <text>
        <r>
          <rPr>
            <b/>
            <sz val="9"/>
            <color indexed="81"/>
            <rFont val="Tahoma"/>
            <family val="2"/>
          </rPr>
          <t>Kolle felt 16.11.19 48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8E7E8AE-B197-47E8-ABA9-62B16F698976}">
      <text>
        <r>
          <rPr>
            <b/>
            <sz val="9"/>
            <color indexed="81"/>
            <rFont val="Tahoma"/>
            <family val="2"/>
          </rPr>
          <t>Bukk felt 24.09.19 9 tagger 98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1" shapeId="0" xr:uid="{394121C4-9B53-4E61-90B5-1D457699D865}">
      <text>
        <r>
          <rPr>
            <sz val="10"/>
            <rFont val="Arial"/>
            <family val="2"/>
          </rPr>
          <t>Kalv, ho felt 29.09.19 16 kg (EB)</t>
        </r>
      </text>
    </comment>
    <comment ref="G6" authorId="0" shapeId="0" xr:uid="{4BC55F0F-608A-4AB0-BC0A-1B9BE7866208}">
      <text>
        <r>
          <rPr>
            <b/>
            <sz val="9"/>
            <color indexed="81"/>
            <rFont val="Tahoma"/>
            <charset val="1"/>
          </rPr>
          <t>Spissbukk felt 01.09.19 43,6 kg (EB) spissbukk felt 17.10.19 44 kg (EB)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52A04606-C62C-4D7F-80C1-89CE8EA4EE90}">
      <text>
        <r>
          <rPr>
            <b/>
            <sz val="9"/>
            <color indexed="81"/>
            <rFont val="Tahoma"/>
            <family val="2"/>
          </rPr>
          <t xml:space="preserve">Bukk felt 13 tagger 03.09.19 112,3 kg (EB)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E7620395-B770-43B4-B30F-54190553B4EE}">
      <text>
        <r>
          <rPr>
            <b/>
            <sz val="9"/>
            <color indexed="81"/>
            <rFont val="Tahoma"/>
            <charset val="1"/>
          </rPr>
          <t>Spissbukk felt 15.09.19 47 kg (BF)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 xr:uid="{C3C6F2BA-0221-4781-8179-EA701DE3E2FD}">
      <text>
        <r>
          <rPr>
            <b/>
            <sz val="9"/>
            <color indexed="81"/>
            <rFont val="Tahoma"/>
            <family val="2"/>
          </rPr>
          <t>Tilleggsløyve ungdyr, ho 15.09.19</t>
        </r>
      </text>
    </comment>
    <comment ref="I8" authorId="0" shapeId="0" xr:uid="{AA69DD2A-3AAF-42F4-B063-28A4955FEE2D}">
      <text>
        <r>
          <rPr>
            <b/>
            <sz val="9"/>
            <color indexed="81"/>
            <rFont val="Tahoma"/>
            <family val="2"/>
          </rPr>
          <t>Bukk 6 tagger felt 04.09.19 61 kg (AOS)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1AAC415A-C9A6-4E98-AAA9-C1454BEE123B}">
      <text>
        <r>
          <rPr>
            <b/>
            <sz val="9"/>
            <color indexed="81"/>
            <rFont val="Tahoma"/>
            <family val="2"/>
          </rPr>
          <t>Tilleggsløyve kolle + kalv 15.09.19</t>
        </r>
      </text>
    </comment>
    <comment ref="E11" authorId="0" shapeId="0" xr:uid="{3EDA3316-F8FE-44D0-ADC5-2E79918AC5A6}">
      <text>
        <r>
          <rPr>
            <b/>
            <sz val="9"/>
            <color indexed="81"/>
            <rFont val="Tahoma"/>
            <charset val="1"/>
          </rPr>
          <t xml:space="preserve">Kalv, ho Felt 03.09.19
11 kg (KB)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 shapeId="0" xr:uid="{1A0EF90A-0B5A-4EDA-B7C8-AE9C8561887A}">
      <text>
        <r>
          <rPr>
            <b/>
            <sz val="9"/>
            <color indexed="81"/>
            <rFont val="Tahoma"/>
            <charset val="1"/>
          </rPr>
          <t>Kolle felt 02.09.19 38 kg (KB) Kolle hadde knekt framfot.</t>
        </r>
      </text>
    </comment>
    <comment ref="D12" authorId="0" shapeId="0" xr:uid="{DB4406DB-8AB9-4042-BEA6-C37F1F21E036}">
      <text>
        <r>
          <rPr>
            <b/>
            <sz val="9"/>
            <color indexed="81"/>
            <rFont val="Tahoma"/>
            <family val="2"/>
          </rPr>
          <t>tilleggsløyve bukk (6-8 tagger) 05.11.2019</t>
        </r>
        <r>
          <rPr>
            <sz val="9"/>
            <color indexed="81"/>
            <rFont val="Tahoma"/>
            <family val="2"/>
          </rPr>
          <t xml:space="preserve">
+ tilleggsløyve kolle + kalv 25.11.19 (eller ungdyr)</t>
        </r>
      </text>
    </comment>
    <comment ref="E12" authorId="0" shapeId="0" xr:uid="{BA9D0BB6-3780-4B7F-ABCC-B3915DB21109}">
      <text>
        <r>
          <rPr>
            <b/>
            <sz val="9"/>
            <color indexed="81"/>
            <rFont val="Tahoma"/>
            <charset val="1"/>
          </rPr>
          <t>Kalv, han felt 23.09.2019 20, 5 kg (KK)</t>
        </r>
      </text>
    </comment>
    <comment ref="F12" authorId="0" shapeId="0" xr:uid="{6A4ED616-B4AB-40B4-869E-F74C97CCE2AC}">
      <text>
        <r>
          <rPr>
            <b/>
            <sz val="9"/>
            <color indexed="81"/>
            <rFont val="Tahoma"/>
            <charset val="1"/>
          </rPr>
          <t>Ung kolle felt 06.09.2019 44 kg (KK)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 xr:uid="{F67A1BBB-7A39-467C-B319-E87C369B75FB}">
      <text>
        <r>
          <rPr>
            <b/>
            <sz val="9"/>
            <color indexed="81"/>
            <rFont val="Tahoma"/>
            <charset val="1"/>
          </rPr>
          <t>Kolle felt, 28.10.19 60 kg (KK)</t>
        </r>
      </text>
    </comment>
    <comment ref="I12" authorId="0" shapeId="0" xr:uid="{C92C6B79-AB3F-4825-B6F6-A6B17AA785D7}">
      <text>
        <r>
          <rPr>
            <b/>
            <sz val="9"/>
            <color indexed="81"/>
            <rFont val="Tahoma"/>
            <charset val="1"/>
          </rPr>
          <t>Bukk felt 19.11.19 8 tagger 78 kg (KK)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 xr:uid="{947735DA-DBCC-4597-AA07-A1147C9E559F}">
      <text>
        <r>
          <rPr>
            <b/>
            <sz val="9"/>
            <color indexed="81"/>
            <rFont val="Tahoma"/>
            <family val="2"/>
          </rPr>
          <t>Tilleggsløyve kolle + kalv 15.09.19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2AE8FAD9-C634-4ABD-9B5A-2F961A225160}">
      <text>
        <r>
          <rPr>
            <b/>
            <sz val="9"/>
            <color indexed="81"/>
            <rFont val="Tahoma"/>
            <charset val="1"/>
          </rPr>
          <t>Kalv, hun felt 23.09.2019 18 kg (JIV)</t>
        </r>
      </text>
    </comment>
    <comment ref="F13" authorId="0" shapeId="0" xr:uid="{09C42273-B9BF-441B-8DB8-F973899E9755}">
      <text>
        <r>
          <rPr>
            <b/>
            <sz val="9"/>
            <color indexed="81"/>
            <rFont val="Tahoma"/>
            <family val="2"/>
          </rPr>
          <t>Ung kolle felt 13.09.19  47 kg (JIV)</t>
        </r>
      </text>
    </comment>
    <comment ref="G13" authorId="0" shapeId="0" xr:uid="{30FBB82D-2F11-4CD0-89F1-9435A69205E1}">
      <text>
        <r>
          <rPr>
            <b/>
            <sz val="9"/>
            <color indexed="81"/>
            <rFont val="Tahoma"/>
            <charset val="1"/>
          </rPr>
          <t>Spissbukk felt 04.09.2019 54 kg (JIV)</t>
        </r>
      </text>
    </comment>
    <comment ref="H13" authorId="0" shapeId="0" xr:uid="{538D7E57-F6F6-457E-8A80-D9016D681D48}">
      <text>
        <r>
          <rPr>
            <b/>
            <sz val="9"/>
            <color indexed="81"/>
            <rFont val="Tahoma"/>
            <charset val="1"/>
          </rPr>
          <t>Kolle felt 24.09.19 57 kg) (JIV)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 xr:uid="{E5B87819-64B8-4841-9730-FE3848B8513C}">
      <text>
        <r>
          <rPr>
            <b/>
            <sz val="9"/>
            <color indexed="81"/>
            <rFont val="Tahoma"/>
            <family val="2"/>
          </rPr>
          <t>Tilleggsløyve ungdyr, ho + spissbukk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47D46358-4D9D-40EE-A088-5F2C278AEBD6}">
      <text>
        <r>
          <rPr>
            <b/>
            <sz val="9"/>
            <color indexed="81"/>
            <rFont val="Tahoma"/>
            <family val="2"/>
          </rPr>
          <t>Kalv, han felt 04.10.19 30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62046BB-CF7D-4513-987B-62CCBE0B3D40}">
      <text>
        <r>
          <rPr>
            <b/>
            <sz val="9"/>
            <color indexed="81"/>
            <rFont val="Tahoma"/>
            <charset val="1"/>
          </rPr>
          <t>Ungdyr, kolle felt 07.11.19 45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 xr:uid="{457B80FD-D095-4D62-8EFC-26490CEA9694}">
      <text>
        <r>
          <rPr>
            <b/>
            <sz val="9"/>
            <color indexed="81"/>
            <rFont val="Tahoma"/>
            <family val="2"/>
          </rPr>
          <t>Kolle felt 23.09.19 63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432998D2-2FBD-4FC2-ABBD-2EF3E864289F}">
      <text>
        <r>
          <rPr>
            <b/>
            <sz val="9"/>
            <color indexed="81"/>
            <rFont val="Tahoma"/>
            <charset val="1"/>
          </rPr>
          <t>bukk 9 tagger felt 01.09.19 78 kg (EV)</t>
        </r>
      </text>
    </comment>
    <comment ref="D15" authorId="0" shapeId="0" xr:uid="{64E36804-A6A7-44B6-A0A1-D705710A875B}">
      <text>
        <r>
          <rPr>
            <b/>
            <sz val="9"/>
            <color indexed="81"/>
            <rFont val="Tahoma"/>
            <family val="2"/>
          </rPr>
          <t>Tilleggsløyve bukk 6-8 tagger 25.09.19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8952D7E1-DF52-4C81-8A16-F1F69673641F}">
      <text>
        <r>
          <rPr>
            <b/>
            <sz val="9"/>
            <color indexed="81"/>
            <rFont val="Tahoma"/>
            <family val="2"/>
          </rPr>
          <t>Kalv , ho felt 16.09.19 20 kg (AIS)</t>
        </r>
      </text>
    </comment>
    <comment ref="H15" authorId="0" shapeId="0" xr:uid="{14FE15BD-BFF1-4959-8950-BB6F9BD787C4}">
      <text>
        <r>
          <rPr>
            <b/>
            <sz val="9"/>
            <color indexed="81"/>
            <rFont val="Tahoma"/>
            <family val="2"/>
          </rPr>
          <t>Kolle felt 16.09.19 68 kg (AIS)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6E37C93F-36C6-4129-B784-37BEF89A99EE}">
      <text>
        <r>
          <rPr>
            <b/>
            <sz val="9"/>
            <color indexed="81"/>
            <rFont val="Tahoma"/>
            <charset val="1"/>
          </rPr>
          <t>Spissbukk felt 12.09.2019 52 kg (SMK)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C6E1474-7E16-425A-82B5-97825B69978B}">
      <text>
        <r>
          <rPr>
            <b/>
            <sz val="9"/>
            <color indexed="81"/>
            <rFont val="Tahoma"/>
            <family val="2"/>
          </rPr>
          <t>Tilleggsløyve bukk (6-8 tagger) 15.10.19</t>
        </r>
      </text>
    </comment>
    <comment ref="E17" authorId="0" shapeId="0" xr:uid="{563E294A-5D34-42D7-AB04-0DD2D9BD0AEC}">
      <text>
        <r>
          <rPr>
            <b/>
            <sz val="9"/>
            <color indexed="81"/>
            <rFont val="Tahoma"/>
            <charset val="1"/>
          </rPr>
          <t>Kalv, han felt 06.09.19 22 kg (HF) + Kalv, ho felt 19.12.19 24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28B5377F-A607-4695-8B1B-505B5D1F53F1}">
      <text>
        <r>
          <rPr>
            <b/>
            <sz val="9"/>
            <color indexed="81"/>
            <rFont val="Tahoma"/>
            <charset val="1"/>
          </rPr>
          <t>Undyr, kolle felt 01.09.19 41 kg (HF)</t>
        </r>
      </text>
    </comment>
    <comment ref="G17" authorId="0" shapeId="0" xr:uid="{EE9C0B57-FB84-4A80-9FB3-311CFD526C51}">
      <text>
        <r>
          <rPr>
            <b/>
            <sz val="9"/>
            <color indexed="81"/>
            <rFont val="Tahoma"/>
            <charset val="1"/>
          </rPr>
          <t>Spissbukk felt 01.09.19 48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5BFD3EA4-FEA6-4606-BDBF-D92D13A7EFBE}">
      <text>
        <r>
          <rPr>
            <b/>
            <sz val="9"/>
            <color indexed="81"/>
            <rFont val="Tahoma"/>
            <family val="2"/>
          </rPr>
          <t>Kolle felt 13.10.19 58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80B83884-90D0-4E0E-A6E3-C4E7D470245A}">
      <text>
        <r>
          <rPr>
            <b/>
            <sz val="9"/>
            <color indexed="81"/>
            <rFont val="Tahoma"/>
            <charset val="1"/>
          </rPr>
          <t>Ung kolle felt 10.09.2019 52 kg (KS)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258E1DC4-7B44-40D6-8BA2-89BD2FCCDD2A}">
      <text>
        <r>
          <rPr>
            <b/>
            <sz val="9"/>
            <color indexed="81"/>
            <rFont val="Tahoma"/>
            <family val="2"/>
          </rPr>
          <t>Tilleggsløyve ungdyr, ho 15.09.19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869BD689-24CB-46DC-9271-EFB9A7CBCC92}">
      <text>
        <r>
          <rPr>
            <b/>
            <sz val="9"/>
            <color indexed="81"/>
            <rFont val="Tahoma"/>
            <charset val="1"/>
          </rPr>
          <t>Spissbukk felt 07.09.19 48 kg (KT)</t>
        </r>
      </text>
    </comment>
    <comment ref="I21" authorId="0" shapeId="0" xr:uid="{4E57EBC8-1DEA-459A-BBE0-BB718BD5CA0E}">
      <text>
        <r>
          <rPr>
            <b/>
            <sz val="9"/>
            <color indexed="81"/>
            <rFont val="Tahoma"/>
            <charset val="1"/>
          </rPr>
          <t>Bukk felt 10 tagger 13.09.19 ca. 85 kg (KT)</t>
        </r>
      </text>
    </comment>
    <comment ref="H22" authorId="0" shapeId="0" xr:uid="{1ACEF440-FE4E-4AB8-90FC-D31F8565B31F}">
      <text>
        <r>
          <rPr>
            <b/>
            <sz val="9"/>
            <color indexed="81"/>
            <rFont val="Tahoma"/>
            <charset val="1"/>
          </rPr>
          <t>Kolle felt 19.12.19 52 kg (HF)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 xr:uid="{63427F45-EB52-4A30-9CD0-78D48F4A6E4D}">
      <text>
        <r>
          <rPr>
            <b/>
            <sz val="9"/>
            <color indexed="81"/>
            <rFont val="Tahoma"/>
            <family val="2"/>
          </rPr>
          <t>Premie 2018 - spissbukk + tillegggsløyve kolle + kalv 25.11.19 (eller ungdyr)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DBA5263D-7348-4B2A-BB05-EC0BC67687A3}">
      <text>
        <r>
          <rPr>
            <b/>
            <sz val="9"/>
            <color indexed="81"/>
            <rFont val="Tahoma"/>
            <family val="2"/>
          </rPr>
          <t>Spissbukk felt 17.09.2019 67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EFC6331A-7EC2-494B-B6D3-5886412F58CF}">
      <text>
        <r>
          <rPr>
            <b/>
            <sz val="9"/>
            <color indexed="81"/>
            <rFont val="Tahoma"/>
            <charset val="1"/>
          </rPr>
          <t>Kolle felt 17.11.19 44 kg (JT)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5" authorId="0" shapeId="0" xr:uid="{407A2D1C-173B-4BD8-8FF9-CFDBE58B8F82}">
      <text>
        <r>
          <rPr>
            <b/>
            <sz val="9"/>
            <color indexed="81"/>
            <rFont val="Tahoma"/>
            <family val="2"/>
          </rPr>
          <t>Bukk felt 04.10.19 
8 tagger 82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4D6F3DCB-F637-42A4-B2C6-3D99D24EFA8D}">
      <text>
        <r>
          <rPr>
            <b/>
            <sz val="9"/>
            <color indexed="81"/>
            <rFont val="Tahoma"/>
            <family val="2"/>
          </rPr>
          <t>Tillegggsløyve kolle + kalv 05.10.19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D5F525C8-992F-448D-B759-B8C8134F9E80}">
      <text>
        <r>
          <rPr>
            <b/>
            <sz val="9"/>
            <color indexed="81"/>
            <rFont val="Tahoma"/>
            <charset val="1"/>
          </rPr>
          <t>Kalv, ho felt 17.12.2019 33 kg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 xr:uid="{D426A203-2FA0-485C-AE17-30B5C21EBA1C}">
      <text>
        <r>
          <rPr>
            <b/>
            <sz val="9"/>
            <color indexed="81"/>
            <rFont val="Tahoma"/>
            <family val="2"/>
          </rPr>
          <t>Ungkolle felt 04.09.19 42 kg (TEK)</t>
        </r>
      </text>
    </comment>
    <comment ref="H26" authorId="0" shapeId="0" xr:uid="{7FCE1A50-6228-4C7F-81EC-11EEE1FA2074}">
      <text>
        <r>
          <rPr>
            <b/>
            <sz val="9"/>
            <color indexed="81"/>
            <rFont val="Tahoma"/>
            <charset val="1"/>
          </rPr>
          <t>Kolle felt 23.10.19 58 kg (TEK)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 xr:uid="{2068C09B-0E8F-4863-AD15-A110AF0E0F70}">
      <text>
        <r>
          <rPr>
            <b/>
            <sz val="9"/>
            <color indexed="81"/>
            <rFont val="Tahoma"/>
            <family val="2"/>
          </rPr>
          <t>Bukk felt 6 tagger 26.09.19 52 kg (TL)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1" shapeId="0" xr:uid="{291D0EAF-4FC3-4E91-9F28-362D983C4825}">
      <text>
        <r>
          <rPr>
            <sz val="10"/>
            <rFont val="Arial"/>
            <family val="2"/>
          </rPr>
          <t>Bukk felt 30.09.19 8 tagger 81 kg (OAV)</t>
        </r>
      </text>
    </comment>
  </commentList>
</comments>
</file>

<file path=xl/sharedStrings.xml><?xml version="1.0" encoding="utf-8"?>
<sst xmlns="http://schemas.openxmlformats.org/spreadsheetml/2006/main" count="138" uniqueCount="96">
  <si>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</si>
  <si>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</si>
  <si>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</si>
  <si>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</si>
  <si>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</si>
  <si>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</si>
  <si>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</si>
  <si>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</si>
  <si>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</si>
  <si>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</si>
  <si>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</si>
  <si>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</si>
  <si>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</si>
  <si>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</si>
  <si>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Felte dyr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</si>
  <si>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</si>
  <si>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</si>
  <si>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</si>
  <si>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</si>
  <si>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</si>
  <si>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</si>
  <si>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</si>
  <si>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</si>
  <si>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</si>
  <si>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</si>
  <si>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</si>
  <si>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</si>
  <si>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</si>
  <si>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</si>
  <si>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</si>
  <si>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</si>
  <si>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</si>
  <si>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</si>
  <si>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</si>
  <si>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</si>
  <si>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</si>
  <si>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</si>
  <si>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</si>
  <si>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</si>
  <si>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</si>
  <si>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</si>
  <si>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</si>
  <si>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</si>
  <si>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</si>
  <si>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</si>
  <si>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</si>
  <si>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</si>
  <si>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</si>
  <si>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</si>
  <si>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</si>
  <si>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</si>
  <si>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</si>
  <si>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</si>
  <si>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</si>
  <si>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</si>
  <si>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</si>
  <si>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</si>
  <si>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</si>
  <si>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</si>
  <si>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</si>
  <si>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</si>
  <si>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</si>
  <si>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</si>
  <si>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</si>
  <si>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</si>
  <si>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</si>
  <si>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</si>
  <si>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</si>
  <si>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</si>
  <si>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</si>
  <si>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</si>
  <si>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</si>
  <si>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2019: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</si>
  <si>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</si>
  <si>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</si>
  <si>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</si>
  <si>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</si>
  <si>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</si>
  <si>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</si>
  <si>
    <t>Samlet oversikt</t>
  </si>
  <si>
    <t>Kalv</t>
  </si>
  <si>
    <t>ungdyr, ho</t>
  </si>
  <si>
    <t>spissbukk</t>
  </si>
  <si>
    <t>kolle</t>
  </si>
  <si>
    <t>bukk</t>
  </si>
  <si>
    <t>totalt</t>
  </si>
  <si>
    <t>Felte dyr i 2016</t>
  </si>
  <si>
    <t>Felte dyr i 2017</t>
  </si>
  <si>
    <t>Felte dyr i 2018</t>
  </si>
  <si>
    <t>Felte dyr i 2019</t>
  </si>
  <si>
    <t>Felte dyr i 2020</t>
  </si>
  <si>
    <t>Totalt felte dyr i perioden:</t>
  </si>
  <si>
    <t>Fordeling i %:</t>
  </si>
  <si>
    <t>Fordelingsnøkkel:</t>
  </si>
  <si>
    <t>Fordelingen basert på fordelingsnøkkel:</t>
  </si>
  <si>
    <t>Defferanse: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</si>
</sst>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"/>
    <numFmt numFmtId="165" formatCode="0.0"/>
    <numFmt numFmtId="166" formatCode="0.0\ %"/>
    <numFmt numFmtId="167" formatCode="0;[Red]0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indexed="8"/>
      <name val="Segoe UI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4" fillId="0" borderId="5" xfId="0" applyFont="1" applyBorder="1"/>
    <xf numFmtId="0" fontId="5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6" fillId="0" borderId="0" xfId="0" applyFont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164" fontId="1" fillId="6" borderId="0" xfId="0" applyNumberFormat="1" applyFont="1" applyFill="1"/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" fontId="4" fillId="0" borderId="5" xfId="0" applyNumberFormat="1" applyFont="1" applyBorder="1"/>
    <xf numFmtId="0" fontId="9" fillId="0" borderId="5" xfId="0" applyFont="1" applyBorder="1" applyAlignment="1">
      <alignment horizontal="center" vertical="top" wrapText="1"/>
    </xf>
    <xf numFmtId="165" fontId="1" fillId="0" borderId="0" xfId="0" applyNumberFormat="1" applyFont="1"/>
    <xf numFmtId="164" fontId="1" fillId="7" borderId="0" xfId="0" applyNumberFormat="1" applyFont="1" applyFill="1"/>
    <xf numFmtId="0" fontId="9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5" fillId="3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vertical="top" wrapText="1"/>
    </xf>
    <xf numFmtId="0" fontId="1" fillId="3" borderId="3" xfId="0" applyFont="1" applyFill="1" applyBorder="1"/>
    <xf numFmtId="0" fontId="1" fillId="0" borderId="2" xfId="0" applyFont="1" applyBorder="1"/>
    <xf numFmtId="0" fontId="11" fillId="8" borderId="0" xfId="0" applyFont="1" applyFill="1" applyAlignment="1">
      <alignment vertical="top" wrapText="1"/>
    </xf>
    <xf numFmtId="0" fontId="1" fillId="8" borderId="0" xfId="0" applyFont="1" applyFill="1"/>
    <xf numFmtId="1" fontId="1" fillId="8" borderId="0" xfId="0" applyNumberFormat="1" applyFont="1" applyFill="1"/>
    <xf numFmtId="10" fontId="1" fillId="0" borderId="0" xfId="0" applyNumberFormat="1" applyFont="1"/>
    <xf numFmtId="0" fontId="12" fillId="9" borderId="9" xfId="0" applyFont="1" applyFill="1" applyBorder="1"/>
    <xf numFmtId="0" fontId="12" fillId="9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8" fillId="9" borderId="0" xfId="0" applyFont="1" applyFill="1"/>
    <xf numFmtId="0" fontId="13" fillId="9" borderId="12" xfId="0" applyFont="1" applyFill="1" applyBorder="1"/>
    <xf numFmtId="0" fontId="13" fillId="9" borderId="0" xfId="0" applyFont="1" applyFill="1"/>
    <xf numFmtId="166" fontId="1" fillId="0" borderId="0" xfId="0" applyNumberFormat="1" applyFont="1"/>
    <xf numFmtId="0" fontId="13" fillId="9" borderId="13" xfId="0" applyFont="1" applyFill="1" applyBorder="1"/>
    <xf numFmtId="0" fontId="1" fillId="0" borderId="13" xfId="0" applyFont="1" applyBorder="1"/>
    <xf numFmtId="0" fontId="14" fillId="0" borderId="0" xfId="0" applyFont="1"/>
    <xf numFmtId="0" fontId="13" fillId="9" borderId="14" xfId="0" applyFont="1" applyFill="1" applyBorder="1"/>
    <xf numFmtId="0" fontId="13" fillId="9" borderId="15" xfId="0" applyFont="1" applyFill="1" applyBorder="1"/>
    <xf numFmtId="166" fontId="1" fillId="0" borderId="15" xfId="0" applyNumberFormat="1" applyFont="1" applyBorder="1"/>
    <xf numFmtId="0" fontId="16" fillId="9" borderId="15" xfId="0" applyFont="1" applyFill="1" applyBorder="1"/>
    <xf numFmtId="1" fontId="1" fillId="0" borderId="15" xfId="0" applyNumberFormat="1" applyFont="1" applyBorder="1"/>
    <xf numFmtId="0" fontId="16" fillId="9" borderId="16" xfId="0" applyFont="1" applyFill="1" applyBorder="1"/>
    <xf numFmtId="0" fontId="17" fillId="9" borderId="0" xfId="0" applyFont="1" applyFill="1"/>
    <xf numFmtId="0" fontId="1" fillId="0" borderId="1" xfId="0" applyFont="1" applyBorder="1"/>
    <xf numFmtId="0" fontId="18" fillId="0" borderId="1" xfId="0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9" fillId="0" borderId="17" xfId="0" applyNumberFormat="1" applyFont="1" applyBorder="1"/>
    <xf numFmtId="166" fontId="19" fillId="0" borderId="18" xfId="0" applyNumberFormat="1" applyFont="1" applyBorder="1"/>
    <xf numFmtId="166" fontId="19" fillId="0" borderId="8" xfId="0" applyNumberFormat="1" applyFont="1" applyBorder="1"/>
    <xf numFmtId="0" fontId="20" fillId="0" borderId="0" xfId="0" applyFont="1"/>
    <xf numFmtId="0" fontId="2" fillId="2" borderId="0" xfId="0" applyFont="1" applyFill="1" applyAlignment="1">
      <alignment horizontal="center" vertical="top" wrapText="1"/>
    </xf>
    <xf numFmtId="14" fontId="19" fillId="0" borderId="0" xfId="0" applyNumberFormat="1" applyFont="1"/>
    <xf numFmtId="38" fontId="21" fillId="0" borderId="5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3" borderId="6" xfId="0" applyFont="1" applyFill="1" applyBorder="1"/>
    <xf numFmtId="38" fontId="1" fillId="0" borderId="2" xfId="0" applyNumberFormat="1" applyFont="1" applyBorder="1"/>
    <xf numFmtId="0" fontId="22" fillId="0" borderId="1" xfId="0" applyFont="1" applyBorder="1" applyAlignment="1">
      <alignment horizontal="center"/>
    </xf>
    <xf numFmtId="1" fontId="1" fillId="10" borderId="0" xfId="0" applyNumberFormat="1" applyFont="1" applyFill="1"/>
    <xf numFmtId="0" fontId="3" fillId="11" borderId="0" xfId="0" applyFont="1" applyFill="1"/>
    <xf numFmtId="0" fontId="1" fillId="11" borderId="0" xfId="0" applyFont="1" applyFill="1"/>
    <xf numFmtId="166" fontId="1" fillId="11" borderId="0" xfId="0" applyNumberFormat="1" applyFont="1" applyFill="1"/>
    <xf numFmtId="0" fontId="5" fillId="0" borderId="0" xfId="0" applyFont="1"/>
    <xf numFmtId="0" fontId="23" fillId="0" borderId="0" xfId="0" applyFont="1"/>
    <xf numFmtId="10" fontId="23" fillId="0" borderId="0" xfId="0" applyNumberFormat="1" applyFont="1"/>
    <xf numFmtId="0" fontId="24" fillId="0" borderId="19" xfId="0" applyFont="1" applyBorder="1"/>
    <xf numFmtId="0" fontId="1" fillId="0" borderId="19" xfId="0" applyFont="1" applyBorder="1"/>
    <xf numFmtId="0" fontId="0" fillId="0" borderId="19" xfId="0" applyBorder="1"/>
    <xf numFmtId="0" fontId="20" fillId="0" borderId="19" xfId="0" applyFont="1" applyBorder="1"/>
    <xf numFmtId="0" fontId="25" fillId="0" borderId="19" xfId="0" applyFont="1" applyBorder="1"/>
    <xf numFmtId="10" fontId="25" fillId="0" borderId="19" xfId="0" applyNumberFormat="1" applyFont="1" applyBorder="1"/>
    <xf numFmtId="0" fontId="26" fillId="0" borderId="19" xfId="0" applyFont="1" applyBorder="1"/>
    <xf numFmtId="166" fontId="26" fillId="0" borderId="19" xfId="0" applyNumberFormat="1" applyFont="1" applyBorder="1"/>
    <xf numFmtId="1" fontId="1" fillId="0" borderId="19" xfId="0" applyNumberFormat="1" applyFont="1" applyBorder="1"/>
    <xf numFmtId="167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9/fordeling%20av%20dyr%202016-2020%20versjon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1_felte_dyr"/>
      <sheetName val="2012 felte_dyr"/>
      <sheetName val="2013 felte_dyr"/>
      <sheetName val="2014 felte_dyr"/>
      <sheetName val="2015 felte_dyr"/>
      <sheetName val="2016_felte_dyr"/>
      <sheetName val="2017_felte_dyr"/>
      <sheetName val="2018_felte_dyr"/>
      <sheetName val="2019_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18_felte_dyr tidsakse"/>
      <sheetName val="2019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ellingsavgifter 18"/>
      <sheetName val="Fellingsavgifter 19"/>
      <sheetName val="Fellingsavgifter 20"/>
      <sheetName val="Fakturagrunnlag"/>
      <sheetName val="2011arb"/>
      <sheetName val="Jaktfeltnummer"/>
      <sheetName val="Jaktfeltnavne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5</v>
          </cell>
          <cell r="F3">
            <v>2</v>
          </cell>
          <cell r="G3">
            <v>2</v>
          </cell>
          <cell r="H3">
            <v>4</v>
          </cell>
          <cell r="I3">
            <v>4</v>
          </cell>
          <cell r="J3">
            <v>17</v>
          </cell>
        </row>
        <row r="4">
          <cell r="F4">
            <v>1</v>
          </cell>
          <cell r="J4">
            <v>1</v>
          </cell>
        </row>
        <row r="5">
          <cell r="E5">
            <v>1</v>
          </cell>
          <cell r="F5">
            <v>1</v>
          </cell>
          <cell r="H5">
            <v>1</v>
          </cell>
          <cell r="I5">
            <v>1</v>
          </cell>
          <cell r="J5">
            <v>4</v>
          </cell>
        </row>
        <row r="6">
          <cell r="F6">
            <v>1</v>
          </cell>
          <cell r="G6">
            <v>2</v>
          </cell>
          <cell r="I6">
            <v>1</v>
          </cell>
          <cell r="J6">
            <v>4</v>
          </cell>
        </row>
        <row r="7">
          <cell r="E7">
            <v>1</v>
          </cell>
          <cell r="G7">
            <v>1</v>
          </cell>
          <cell r="H7">
            <v>1</v>
          </cell>
          <cell r="I7">
            <v>1</v>
          </cell>
          <cell r="J7">
            <v>4</v>
          </cell>
        </row>
        <row r="8">
          <cell r="F8">
            <v>1</v>
          </cell>
          <cell r="I8">
            <v>1</v>
          </cell>
          <cell r="J8">
            <v>2</v>
          </cell>
        </row>
        <row r="9">
          <cell r="F9">
            <v>1</v>
          </cell>
          <cell r="J9">
            <v>1</v>
          </cell>
        </row>
        <row r="10">
          <cell r="G10">
            <v>1</v>
          </cell>
          <cell r="J10">
            <v>1</v>
          </cell>
        </row>
        <row r="11">
          <cell r="E11">
            <v>2</v>
          </cell>
          <cell r="H11">
            <v>2</v>
          </cell>
          <cell r="J11">
            <v>4</v>
          </cell>
        </row>
        <row r="12">
          <cell r="E12">
            <v>2</v>
          </cell>
          <cell r="F12">
            <v>1</v>
          </cell>
          <cell r="H12">
            <v>2</v>
          </cell>
          <cell r="I12">
            <v>1</v>
          </cell>
          <cell r="J12">
            <v>6</v>
          </cell>
        </row>
        <row r="13">
          <cell r="E13">
            <v>1</v>
          </cell>
          <cell r="F13">
            <v>1</v>
          </cell>
          <cell r="G13">
            <v>1</v>
          </cell>
          <cell r="H13">
            <v>1</v>
          </cell>
          <cell r="J13">
            <v>4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5</v>
          </cell>
        </row>
        <row r="15">
          <cell r="E15">
            <v>1</v>
          </cell>
          <cell r="H15">
            <v>1</v>
          </cell>
          <cell r="I15">
            <v>1</v>
          </cell>
          <cell r="J15">
            <v>3</v>
          </cell>
        </row>
        <row r="16">
          <cell r="F16">
            <v>1</v>
          </cell>
          <cell r="G16">
            <v>1</v>
          </cell>
          <cell r="J16">
            <v>2</v>
          </cell>
        </row>
        <row r="17"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5</v>
          </cell>
        </row>
        <row r="18">
          <cell r="E18">
            <v>1</v>
          </cell>
          <cell r="F18">
            <v>1</v>
          </cell>
          <cell r="G18">
            <v>1</v>
          </cell>
          <cell r="H18">
            <v>1</v>
          </cell>
          <cell r="J18">
            <v>4</v>
          </cell>
        </row>
        <row r="19">
          <cell r="F19">
            <v>1</v>
          </cell>
          <cell r="G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F21">
            <v>1</v>
          </cell>
          <cell r="G21">
            <v>1</v>
          </cell>
          <cell r="I21">
            <v>1</v>
          </cell>
          <cell r="J21">
            <v>3</v>
          </cell>
        </row>
        <row r="22">
          <cell r="F22">
            <v>1</v>
          </cell>
          <cell r="J22">
            <v>1</v>
          </cell>
        </row>
        <row r="23">
          <cell r="E23">
            <v>1</v>
          </cell>
          <cell r="G23">
            <v>1</v>
          </cell>
          <cell r="H23">
            <v>1</v>
          </cell>
          <cell r="J23">
            <v>3</v>
          </cell>
        </row>
        <row r="24">
          <cell r="E24">
            <v>1</v>
          </cell>
          <cell r="H24">
            <v>1</v>
          </cell>
          <cell r="J24">
            <v>2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5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J26">
            <v>4</v>
          </cell>
        </row>
        <row r="27">
          <cell r="F27">
            <v>1</v>
          </cell>
          <cell r="I27">
            <v>1</v>
          </cell>
          <cell r="J27">
            <v>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J29">
            <v>90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7">
        <row r="29">
          <cell r="E29">
            <v>10</v>
          </cell>
          <cell r="F29">
            <v>11</v>
          </cell>
          <cell r="G29">
            <v>12</v>
          </cell>
          <cell r="H29">
            <v>11</v>
          </cell>
          <cell r="I29">
            <v>12</v>
          </cell>
        </row>
      </sheetData>
      <sheetData sheetId="18">
        <row r="29">
          <cell r="E29">
            <v>15</v>
          </cell>
          <cell r="F29">
            <v>11</v>
          </cell>
          <cell r="G29">
            <v>13</v>
          </cell>
          <cell r="H29">
            <v>19</v>
          </cell>
          <cell r="I29">
            <v>15</v>
          </cell>
        </row>
      </sheetData>
      <sheetData sheetId="19"/>
      <sheetData sheetId="20">
        <row r="49">
          <cell r="E49">
            <v>0.22093023255813954</v>
          </cell>
          <cell r="F49">
            <v>0.16666666666666666</v>
          </cell>
          <cell r="G49">
            <v>0.18992248062015504</v>
          </cell>
          <cell r="H49">
            <v>0.21705426356589147</v>
          </cell>
          <cell r="I49">
            <v>0.20542635658914729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A8F9-A50D-4E33-B43E-C62D00B9233D}">
  <dimension ref="A1:Y109"/>
  <sheetViews>
    <sheetView tabSelected="1" zoomScaleNormal="100" workbookViewId="0">
      <selection activeCell="E76" sqref="E76"/>
    </sheetView>
  </sheetViews>
  <sheetFormatPr baseColWidth="10" defaultRowHeight="12.75" x14ac:dyDescent="0.2"/>
  <cols>
    <col min="1" max="1" width="29.85546875" style="5" customWidth="1"/>
    <col min="2" max="2" width="11.5703125" style="5" customWidth="1"/>
    <col min="3" max="3" width="0" style="5" hidden="1" customWidth="1"/>
    <col min="4" max="4" width="10.570312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19" width="11.42578125" style="5"/>
    <col min="20" max="20" width="15.85546875" style="5" bestFit="1" customWidth="1"/>
    <col min="2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275" width="11.42578125" style="5"/>
    <col min="276" max="276" width="15.85546875" style="5" bestFit="1" customWidth="1"/>
    <col min="27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531" width="11.42578125" style="5"/>
    <col min="532" max="532" width="15.85546875" style="5" bestFit="1" customWidth="1"/>
    <col min="53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787" width="11.42578125" style="5"/>
    <col min="788" max="788" width="15.85546875" style="5" bestFit="1" customWidth="1"/>
    <col min="78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043" width="11.42578125" style="5"/>
    <col min="1044" max="1044" width="15.85546875" style="5" bestFit="1" customWidth="1"/>
    <col min="104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299" width="11.42578125" style="5"/>
    <col min="1300" max="1300" width="15.85546875" style="5" bestFit="1" customWidth="1"/>
    <col min="130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555" width="11.42578125" style="5"/>
    <col min="1556" max="1556" width="15.85546875" style="5" bestFit="1" customWidth="1"/>
    <col min="155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1811" width="11.42578125" style="5"/>
    <col min="1812" max="1812" width="15.85546875" style="5" bestFit="1" customWidth="1"/>
    <col min="181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067" width="11.42578125" style="5"/>
    <col min="2068" max="2068" width="15.85546875" style="5" bestFit="1" customWidth="1"/>
    <col min="206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323" width="11.42578125" style="5"/>
    <col min="2324" max="2324" width="15.85546875" style="5" bestFit="1" customWidth="1"/>
    <col min="232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579" width="11.42578125" style="5"/>
    <col min="2580" max="2580" width="15.85546875" style="5" bestFit="1" customWidth="1"/>
    <col min="258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2835" width="11.42578125" style="5"/>
    <col min="2836" max="2836" width="15.85546875" style="5" bestFit="1" customWidth="1"/>
    <col min="283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091" width="11.42578125" style="5"/>
    <col min="3092" max="3092" width="15.85546875" style="5" bestFit="1" customWidth="1"/>
    <col min="309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347" width="11.42578125" style="5"/>
    <col min="3348" max="3348" width="15.85546875" style="5" bestFit="1" customWidth="1"/>
    <col min="334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603" width="11.42578125" style="5"/>
    <col min="3604" max="3604" width="15.85546875" style="5" bestFit="1" customWidth="1"/>
    <col min="360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3859" width="11.42578125" style="5"/>
    <col min="3860" max="3860" width="15.85546875" style="5" bestFit="1" customWidth="1"/>
    <col min="386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115" width="11.42578125" style="5"/>
    <col min="4116" max="4116" width="15.85546875" style="5" bestFit="1" customWidth="1"/>
    <col min="411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371" width="11.42578125" style="5"/>
    <col min="4372" max="4372" width="15.85546875" style="5" bestFit="1" customWidth="1"/>
    <col min="437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627" width="11.42578125" style="5"/>
    <col min="4628" max="4628" width="15.85546875" style="5" bestFit="1" customWidth="1"/>
    <col min="462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4883" width="11.42578125" style="5"/>
    <col min="4884" max="4884" width="15.85546875" style="5" bestFit="1" customWidth="1"/>
    <col min="488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139" width="11.42578125" style="5"/>
    <col min="5140" max="5140" width="15.85546875" style="5" bestFit="1" customWidth="1"/>
    <col min="514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395" width="11.42578125" style="5"/>
    <col min="5396" max="5396" width="15.85546875" style="5" bestFit="1" customWidth="1"/>
    <col min="539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651" width="11.42578125" style="5"/>
    <col min="5652" max="5652" width="15.85546875" style="5" bestFit="1" customWidth="1"/>
    <col min="565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5907" width="11.42578125" style="5"/>
    <col min="5908" max="5908" width="15.85546875" style="5" bestFit="1" customWidth="1"/>
    <col min="590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163" width="11.42578125" style="5"/>
    <col min="6164" max="6164" width="15.85546875" style="5" bestFit="1" customWidth="1"/>
    <col min="616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419" width="11.42578125" style="5"/>
    <col min="6420" max="6420" width="15.85546875" style="5" bestFit="1" customWidth="1"/>
    <col min="642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675" width="11.42578125" style="5"/>
    <col min="6676" max="6676" width="15.85546875" style="5" bestFit="1" customWidth="1"/>
    <col min="667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6931" width="11.42578125" style="5"/>
    <col min="6932" max="6932" width="15.85546875" style="5" bestFit="1" customWidth="1"/>
    <col min="693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187" width="11.42578125" style="5"/>
    <col min="7188" max="7188" width="15.85546875" style="5" bestFit="1" customWidth="1"/>
    <col min="718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443" width="11.42578125" style="5"/>
    <col min="7444" max="7444" width="15.85546875" style="5" bestFit="1" customWidth="1"/>
    <col min="744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699" width="11.42578125" style="5"/>
    <col min="7700" max="7700" width="15.85546875" style="5" bestFit="1" customWidth="1"/>
    <col min="770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7955" width="11.42578125" style="5"/>
    <col min="7956" max="7956" width="15.85546875" style="5" bestFit="1" customWidth="1"/>
    <col min="795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211" width="11.42578125" style="5"/>
    <col min="8212" max="8212" width="15.85546875" style="5" bestFit="1" customWidth="1"/>
    <col min="821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467" width="11.42578125" style="5"/>
    <col min="8468" max="8468" width="15.85546875" style="5" bestFit="1" customWidth="1"/>
    <col min="846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723" width="11.42578125" style="5"/>
    <col min="8724" max="8724" width="15.85546875" style="5" bestFit="1" customWidth="1"/>
    <col min="872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8979" width="11.42578125" style="5"/>
    <col min="8980" max="8980" width="15.85546875" style="5" bestFit="1" customWidth="1"/>
    <col min="898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235" width="11.42578125" style="5"/>
    <col min="9236" max="9236" width="15.85546875" style="5" bestFit="1" customWidth="1"/>
    <col min="923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491" width="11.42578125" style="5"/>
    <col min="9492" max="9492" width="15.85546875" style="5" bestFit="1" customWidth="1"/>
    <col min="949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747" width="11.42578125" style="5"/>
    <col min="9748" max="9748" width="15.85546875" style="5" bestFit="1" customWidth="1"/>
    <col min="974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10003" width="11.42578125" style="5"/>
    <col min="10004" max="10004" width="15.85546875" style="5" bestFit="1" customWidth="1"/>
    <col min="1000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259" width="11.42578125" style="5"/>
    <col min="10260" max="10260" width="15.85546875" style="5" bestFit="1" customWidth="1"/>
    <col min="1026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515" width="11.42578125" style="5"/>
    <col min="10516" max="10516" width="15.85546875" style="5" bestFit="1" customWidth="1"/>
    <col min="1051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0771" width="11.42578125" style="5"/>
    <col min="10772" max="10772" width="15.85546875" style="5" bestFit="1" customWidth="1"/>
    <col min="1077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027" width="11.42578125" style="5"/>
    <col min="11028" max="11028" width="15.85546875" style="5" bestFit="1" customWidth="1"/>
    <col min="1102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283" width="11.42578125" style="5"/>
    <col min="11284" max="11284" width="15.85546875" style="5" bestFit="1" customWidth="1"/>
    <col min="1128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539" width="11.42578125" style="5"/>
    <col min="11540" max="11540" width="15.85546875" style="5" bestFit="1" customWidth="1"/>
    <col min="1154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1795" width="11.42578125" style="5"/>
    <col min="11796" max="11796" width="15.85546875" style="5" bestFit="1" customWidth="1"/>
    <col min="1179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051" width="11.42578125" style="5"/>
    <col min="12052" max="12052" width="15.85546875" style="5" bestFit="1" customWidth="1"/>
    <col min="1205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307" width="11.42578125" style="5"/>
    <col min="12308" max="12308" width="15.85546875" style="5" bestFit="1" customWidth="1"/>
    <col min="1230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563" width="11.42578125" style="5"/>
    <col min="12564" max="12564" width="15.85546875" style="5" bestFit="1" customWidth="1"/>
    <col min="1256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2819" width="11.42578125" style="5"/>
    <col min="12820" max="12820" width="15.85546875" style="5" bestFit="1" customWidth="1"/>
    <col min="1282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075" width="11.42578125" style="5"/>
    <col min="13076" max="13076" width="15.85546875" style="5" bestFit="1" customWidth="1"/>
    <col min="1307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331" width="11.42578125" style="5"/>
    <col min="13332" max="13332" width="15.85546875" style="5" bestFit="1" customWidth="1"/>
    <col min="1333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587" width="11.42578125" style="5"/>
    <col min="13588" max="13588" width="15.85546875" style="5" bestFit="1" customWidth="1"/>
    <col min="1358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3843" width="11.42578125" style="5"/>
    <col min="13844" max="13844" width="15.85546875" style="5" bestFit="1" customWidth="1"/>
    <col min="1384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099" width="11.42578125" style="5"/>
    <col min="14100" max="14100" width="15.85546875" style="5" bestFit="1" customWidth="1"/>
    <col min="1410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355" width="11.42578125" style="5"/>
    <col min="14356" max="14356" width="15.85546875" style="5" bestFit="1" customWidth="1"/>
    <col min="1435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611" width="11.42578125" style="5"/>
    <col min="14612" max="14612" width="15.85546875" style="5" bestFit="1" customWidth="1"/>
    <col min="1461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4867" width="11.42578125" style="5"/>
    <col min="14868" max="14868" width="15.85546875" style="5" bestFit="1" customWidth="1"/>
    <col min="1486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123" width="11.42578125" style="5"/>
    <col min="15124" max="15124" width="15.85546875" style="5" bestFit="1" customWidth="1"/>
    <col min="1512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379" width="11.42578125" style="5"/>
    <col min="15380" max="15380" width="15.85546875" style="5" bestFit="1" customWidth="1"/>
    <col min="1538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635" width="11.42578125" style="5"/>
    <col min="15636" max="15636" width="15.85546875" style="5" bestFit="1" customWidth="1"/>
    <col min="1563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5891" width="11.42578125" style="5"/>
    <col min="15892" max="15892" width="15.85546875" style="5" bestFit="1" customWidth="1"/>
    <col min="1589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147" width="11.42578125" style="5"/>
    <col min="16148" max="16148" width="15.85546875" style="5" bestFit="1" customWidth="1"/>
    <col min="16149" max="16384" width="11.42578125" style="5"/>
  </cols>
  <sheetData>
    <row r="1" spans="1:24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2019</v>
      </c>
    </row>
    <row r="2" spans="1:24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  <c r="U2" t="s">
        <v>14</v>
      </c>
    </row>
    <row r="3" spans="1:24" x14ac:dyDescent="0.2">
      <c r="A3" s="9" t="s">
        <v>15</v>
      </c>
      <c r="B3" s="10">
        <v>8200</v>
      </c>
      <c r="C3" s="11">
        <v>16</v>
      </c>
      <c r="D3" s="12">
        <f>10+3+4</f>
        <v>17</v>
      </c>
      <c r="E3" s="13">
        <f>1+1+1+1+1</f>
        <v>5</v>
      </c>
      <c r="F3" s="13">
        <v>2</v>
      </c>
      <c r="G3" s="13">
        <f>1+1+1</f>
        <v>3</v>
      </c>
      <c r="H3" s="13">
        <f>1+1+1+1</f>
        <v>4</v>
      </c>
      <c r="I3" s="14">
        <f>1+1+1</f>
        <v>3</v>
      </c>
      <c r="J3" s="15">
        <f t="shared" ref="J3:J28" si="0">SUM(E3:I3)</f>
        <v>17</v>
      </c>
      <c r="K3" s="16">
        <f t="shared" ref="K3:K28" si="1">+J3</f>
        <v>17</v>
      </c>
      <c r="L3" s="17">
        <f>+K3/'[1]2019'!J3</f>
        <v>1</v>
      </c>
      <c r="Q3" s="18">
        <f t="shared" ref="Q3:Q27" si="2">+IF(J3=0,B3,B3/K3)</f>
        <v>482.35294117647061</v>
      </c>
      <c r="U3" s="5">
        <v>1999</v>
      </c>
      <c r="V3" s="5">
        <v>35</v>
      </c>
    </row>
    <row r="4" spans="1:24" x14ac:dyDescent="0.2">
      <c r="A4" s="9" t="s">
        <v>16</v>
      </c>
      <c r="B4" s="10">
        <v>2669</v>
      </c>
      <c r="C4" s="11">
        <v>2</v>
      </c>
      <c r="D4" s="19">
        <v>1</v>
      </c>
      <c r="E4" s="13"/>
      <c r="F4" s="13"/>
      <c r="G4" s="13"/>
      <c r="H4" s="14"/>
      <c r="I4" s="13"/>
      <c r="J4" s="15">
        <f t="shared" si="0"/>
        <v>0</v>
      </c>
      <c r="K4" s="16">
        <f t="shared" si="1"/>
        <v>0</v>
      </c>
      <c r="L4" s="20">
        <f>+K4/'[1]2019'!J4</f>
        <v>0</v>
      </c>
      <c r="Q4" s="18">
        <f t="shared" si="2"/>
        <v>2669</v>
      </c>
      <c r="U4" s="5">
        <v>2000</v>
      </c>
      <c r="V4" s="5">
        <v>36</v>
      </c>
    </row>
    <row r="5" spans="1:24" x14ac:dyDescent="0.2">
      <c r="A5" s="9" t="s">
        <v>17</v>
      </c>
      <c r="B5" s="10">
        <v>2100</v>
      </c>
      <c r="C5" s="11">
        <v>4</v>
      </c>
      <c r="D5" s="12">
        <f>2+2</f>
        <v>4</v>
      </c>
      <c r="E5" s="13">
        <v>1</v>
      </c>
      <c r="F5" s="21"/>
      <c r="G5" s="13">
        <v>1</v>
      </c>
      <c r="H5" s="13">
        <v>1</v>
      </c>
      <c r="I5" s="14">
        <v>1</v>
      </c>
      <c r="J5" s="15">
        <f t="shared" si="0"/>
        <v>4</v>
      </c>
      <c r="K5" s="16">
        <f t="shared" si="1"/>
        <v>4</v>
      </c>
      <c r="L5" s="17">
        <f>+K5/'[1]2019'!J5</f>
        <v>1</v>
      </c>
      <c r="Q5" s="18">
        <f t="shared" si="2"/>
        <v>525</v>
      </c>
      <c r="U5">
        <v>2001</v>
      </c>
      <c r="V5">
        <v>57</v>
      </c>
    </row>
    <row r="6" spans="1:24" x14ac:dyDescent="0.2">
      <c r="A6" s="9" t="s">
        <v>18</v>
      </c>
      <c r="B6" s="10">
        <v>3650</v>
      </c>
      <c r="C6" s="11">
        <v>6</v>
      </c>
      <c r="D6" s="19">
        <v>4</v>
      </c>
      <c r="E6" s="22">
        <v>1</v>
      </c>
      <c r="F6" s="13"/>
      <c r="G6" s="13">
        <f>1+1</f>
        <v>2</v>
      </c>
      <c r="H6" s="13"/>
      <c r="I6" s="21">
        <v>1</v>
      </c>
      <c r="J6" s="15">
        <f t="shared" si="0"/>
        <v>4</v>
      </c>
      <c r="K6" s="16">
        <f t="shared" si="1"/>
        <v>4</v>
      </c>
      <c r="L6" s="17">
        <f>+K6/'[1]2019'!J6</f>
        <v>1</v>
      </c>
      <c r="Q6" s="18">
        <f t="shared" si="2"/>
        <v>912.5</v>
      </c>
      <c r="U6">
        <v>2002</v>
      </c>
      <c r="V6">
        <v>56</v>
      </c>
    </row>
    <row r="7" spans="1:24" x14ac:dyDescent="0.2">
      <c r="A7" s="9" t="s">
        <v>19</v>
      </c>
      <c r="B7" s="10">
        <v>4600</v>
      </c>
      <c r="C7" s="23">
        <v>5</v>
      </c>
      <c r="D7" s="19">
        <v>4</v>
      </c>
      <c r="E7" s="13"/>
      <c r="F7" s="13"/>
      <c r="G7" s="13">
        <v>1</v>
      </c>
      <c r="H7" s="13"/>
      <c r="I7" s="24"/>
      <c r="J7" s="15">
        <f t="shared" si="0"/>
        <v>1</v>
      </c>
      <c r="K7" s="16">
        <f t="shared" si="1"/>
        <v>1</v>
      </c>
      <c r="L7" s="20">
        <f>+K7/'[1]2019'!J7</f>
        <v>0.25</v>
      </c>
      <c r="Q7" s="18">
        <f t="shared" si="2"/>
        <v>4600</v>
      </c>
      <c r="U7">
        <v>2003</v>
      </c>
      <c r="V7">
        <v>39</v>
      </c>
    </row>
    <row r="8" spans="1:24" x14ac:dyDescent="0.2">
      <c r="A8" s="9" t="s">
        <v>20</v>
      </c>
      <c r="B8" s="10">
        <f>285+401+388</f>
        <v>1074</v>
      </c>
      <c r="C8" s="11">
        <v>2</v>
      </c>
      <c r="D8" s="12">
        <f>1+1</f>
        <v>2</v>
      </c>
      <c r="E8" s="21"/>
      <c r="F8" s="13"/>
      <c r="G8" s="13"/>
      <c r="H8" s="21"/>
      <c r="I8" s="13">
        <v>1</v>
      </c>
      <c r="J8" s="15">
        <f t="shared" si="0"/>
        <v>1</v>
      </c>
      <c r="K8" s="16">
        <f t="shared" si="1"/>
        <v>1</v>
      </c>
      <c r="L8" s="17">
        <f>+K8/'[1]2019'!J8</f>
        <v>0.5</v>
      </c>
      <c r="Q8" s="18">
        <f t="shared" si="2"/>
        <v>1074</v>
      </c>
      <c r="U8">
        <v>2004</v>
      </c>
      <c r="V8">
        <v>54</v>
      </c>
    </row>
    <row r="9" spans="1:24" x14ac:dyDescent="0.2">
      <c r="A9" s="9" t="s">
        <v>21</v>
      </c>
      <c r="B9" s="10">
        <f>200+300+155+150+200+393+75+75</f>
        <v>1548</v>
      </c>
      <c r="C9" s="11">
        <v>3</v>
      </c>
      <c r="D9" s="19">
        <v>1</v>
      </c>
      <c r="E9" s="13"/>
      <c r="F9" s="13"/>
      <c r="G9" s="21"/>
      <c r="H9" s="13"/>
      <c r="I9" s="14"/>
      <c r="J9" s="15">
        <f t="shared" si="0"/>
        <v>0</v>
      </c>
      <c r="K9" s="16">
        <f t="shared" si="1"/>
        <v>0</v>
      </c>
      <c r="L9" s="20">
        <f>+K9/'[1]2019'!J9</f>
        <v>0</v>
      </c>
      <c r="Q9" s="18">
        <f t="shared" si="2"/>
        <v>1548</v>
      </c>
      <c r="U9">
        <v>2005</v>
      </c>
      <c r="V9">
        <v>48</v>
      </c>
      <c r="X9" s="25">
        <f>+W12/7</f>
        <v>70.714285714285708</v>
      </c>
    </row>
    <row r="10" spans="1:24" x14ac:dyDescent="0.2">
      <c r="A10" s="9" t="s">
        <v>22</v>
      </c>
      <c r="B10" s="10">
        <v>1098.9000000000001</v>
      </c>
      <c r="C10" s="11">
        <v>2</v>
      </c>
      <c r="D10" s="19">
        <v>1</v>
      </c>
      <c r="E10" s="13"/>
      <c r="F10" s="21"/>
      <c r="G10" s="21"/>
      <c r="H10" s="13"/>
      <c r="I10" s="21"/>
      <c r="J10" s="15">
        <f t="shared" si="0"/>
        <v>0</v>
      </c>
      <c r="K10" s="16">
        <f t="shared" si="1"/>
        <v>0</v>
      </c>
      <c r="L10" s="20">
        <f>+K10/'[1]2019'!J10</f>
        <v>0</v>
      </c>
      <c r="Q10" s="18">
        <f t="shared" si="2"/>
        <v>1098.9000000000001</v>
      </c>
      <c r="U10">
        <v>2006</v>
      </c>
      <c r="V10">
        <v>57</v>
      </c>
    </row>
    <row r="11" spans="1:24" x14ac:dyDescent="0.2">
      <c r="A11" s="9" t="s">
        <v>23</v>
      </c>
      <c r="B11" s="10">
        <v>1270</v>
      </c>
      <c r="C11" s="11">
        <v>2</v>
      </c>
      <c r="D11" s="12">
        <f>2+2</f>
        <v>4</v>
      </c>
      <c r="E11" s="13">
        <v>1</v>
      </c>
      <c r="F11" s="21"/>
      <c r="G11" s="13"/>
      <c r="H11" s="13">
        <v>1</v>
      </c>
      <c r="I11" s="13"/>
      <c r="J11" s="15">
        <f t="shared" si="0"/>
        <v>2</v>
      </c>
      <c r="K11" s="16">
        <f t="shared" si="1"/>
        <v>2</v>
      </c>
      <c r="L11" s="26">
        <f>+K11/'[1]2019'!J11</f>
        <v>0.5</v>
      </c>
      <c r="Q11" s="18">
        <f t="shared" si="2"/>
        <v>635</v>
      </c>
      <c r="U11">
        <v>2007</v>
      </c>
      <c r="V11">
        <v>56</v>
      </c>
    </row>
    <row r="12" spans="1:24" x14ac:dyDescent="0.2">
      <c r="A12" s="9" t="s">
        <v>24</v>
      </c>
      <c r="B12" s="10">
        <f>26+196+15+188+10+410+360+170+1600</f>
        <v>2975</v>
      </c>
      <c r="C12" s="11">
        <v>5</v>
      </c>
      <c r="D12" s="12">
        <f>3+1+2</f>
        <v>6</v>
      </c>
      <c r="E12" s="24">
        <v>1</v>
      </c>
      <c r="F12" s="13">
        <v>1</v>
      </c>
      <c r="G12" s="13"/>
      <c r="H12" s="13">
        <v>1</v>
      </c>
      <c r="I12" s="13">
        <v>1</v>
      </c>
      <c r="J12" s="15">
        <f t="shared" si="0"/>
        <v>4</v>
      </c>
      <c r="K12" s="16">
        <f t="shared" si="1"/>
        <v>4</v>
      </c>
      <c r="L12" s="17">
        <f>+K12/'[1]2019'!J12</f>
        <v>0.66666666666666663</v>
      </c>
      <c r="Q12" s="18">
        <f t="shared" si="2"/>
        <v>743.75</v>
      </c>
      <c r="U12">
        <v>2008</v>
      </c>
      <c r="V12">
        <v>57</v>
      </c>
      <c r="W12" s="5">
        <f>SUM(V3:V12)</f>
        <v>495</v>
      </c>
    </row>
    <row r="13" spans="1:24" x14ac:dyDescent="0.2">
      <c r="A13" s="9" t="s">
        <v>25</v>
      </c>
      <c r="B13" s="10">
        <v>2077</v>
      </c>
      <c r="C13" s="11">
        <v>3</v>
      </c>
      <c r="D13" s="12">
        <f>2+2</f>
        <v>4</v>
      </c>
      <c r="E13" s="13">
        <v>1</v>
      </c>
      <c r="F13" s="13">
        <v>1</v>
      </c>
      <c r="G13" s="13">
        <v>1</v>
      </c>
      <c r="H13" s="24">
        <v>1</v>
      </c>
      <c r="I13" s="21"/>
      <c r="J13" s="15">
        <f t="shared" si="0"/>
        <v>4</v>
      </c>
      <c r="K13" s="16">
        <f t="shared" si="1"/>
        <v>4</v>
      </c>
      <c r="L13" s="17">
        <f>+K13/'[1]2019'!J13</f>
        <v>1</v>
      </c>
      <c r="Q13" s="18">
        <f t="shared" si="2"/>
        <v>519.25</v>
      </c>
      <c r="U13">
        <v>2009</v>
      </c>
      <c r="V13">
        <v>53</v>
      </c>
    </row>
    <row r="14" spans="1:24" x14ac:dyDescent="0.2">
      <c r="A14" s="9" t="s">
        <v>26</v>
      </c>
      <c r="B14" s="10">
        <v>3998</v>
      </c>
      <c r="C14" s="11">
        <v>4</v>
      </c>
      <c r="D14" s="12">
        <f>3+2</f>
        <v>5</v>
      </c>
      <c r="E14" s="13">
        <v>1</v>
      </c>
      <c r="F14" s="13">
        <v>1</v>
      </c>
      <c r="G14" s="13"/>
      <c r="H14" s="13">
        <v>1</v>
      </c>
      <c r="I14" s="27">
        <f>1</f>
        <v>1</v>
      </c>
      <c r="J14" s="15">
        <f t="shared" si="0"/>
        <v>4</v>
      </c>
      <c r="K14" s="16">
        <f t="shared" si="1"/>
        <v>4</v>
      </c>
      <c r="L14" s="17">
        <f>+K14/'[1]2019'!J14</f>
        <v>0.8</v>
      </c>
      <c r="Q14" s="18">
        <f t="shared" si="2"/>
        <v>999.5</v>
      </c>
      <c r="U14">
        <v>2010</v>
      </c>
      <c r="V14">
        <v>74</v>
      </c>
    </row>
    <row r="15" spans="1:24" x14ac:dyDescent="0.2">
      <c r="A15" s="9" t="s">
        <v>27</v>
      </c>
      <c r="B15" s="10">
        <v>1765</v>
      </c>
      <c r="C15" s="11">
        <v>3</v>
      </c>
      <c r="D15" s="12">
        <f>2+1</f>
        <v>3</v>
      </c>
      <c r="E15" s="13">
        <v>1</v>
      </c>
      <c r="F15" s="13"/>
      <c r="G15" s="13"/>
      <c r="H15" s="13">
        <v>1</v>
      </c>
      <c r="I15" s="21"/>
      <c r="J15" s="15">
        <f t="shared" si="0"/>
        <v>2</v>
      </c>
      <c r="K15" s="16">
        <f t="shared" si="1"/>
        <v>2</v>
      </c>
      <c r="L15" s="17">
        <f>+K15/'[1]2019'!J15</f>
        <v>0.66666666666666663</v>
      </c>
      <c r="Q15" s="18">
        <f t="shared" si="2"/>
        <v>882.5</v>
      </c>
      <c r="U15">
        <v>2011</v>
      </c>
      <c r="V15">
        <v>61</v>
      </c>
    </row>
    <row r="16" spans="1:24" x14ac:dyDescent="0.2">
      <c r="A16" s="9" t="s">
        <v>28</v>
      </c>
      <c r="B16" s="10">
        <v>3600</v>
      </c>
      <c r="C16" s="11">
        <v>1</v>
      </c>
      <c r="D16" s="19">
        <v>2</v>
      </c>
      <c r="E16" s="13"/>
      <c r="F16" s="13"/>
      <c r="G16" s="13">
        <v>1</v>
      </c>
      <c r="H16" s="21"/>
      <c r="I16" s="13"/>
      <c r="J16" s="15">
        <f t="shared" si="0"/>
        <v>1</v>
      </c>
      <c r="K16" s="16">
        <f t="shared" si="1"/>
        <v>1</v>
      </c>
      <c r="L16" s="20">
        <f>+K16/'[1]2019'!J16</f>
        <v>0.5</v>
      </c>
      <c r="Q16" s="18">
        <f t="shared" si="2"/>
        <v>3600</v>
      </c>
      <c r="U16">
        <v>2012</v>
      </c>
      <c r="V16">
        <v>57</v>
      </c>
    </row>
    <row r="17" spans="1:25" x14ac:dyDescent="0.2">
      <c r="A17" s="9" t="s">
        <v>29</v>
      </c>
      <c r="B17" s="10">
        <v>5890</v>
      </c>
      <c r="C17" s="11">
        <v>3</v>
      </c>
      <c r="D17" s="12">
        <f>4+1</f>
        <v>5</v>
      </c>
      <c r="E17" s="24">
        <f>1+1</f>
        <v>2</v>
      </c>
      <c r="F17" s="13">
        <v>1</v>
      </c>
      <c r="G17" s="13">
        <v>1</v>
      </c>
      <c r="H17" s="13">
        <v>1</v>
      </c>
      <c r="I17" s="21"/>
      <c r="J17" s="15">
        <f t="shared" si="0"/>
        <v>5</v>
      </c>
      <c r="K17" s="16">
        <f t="shared" si="1"/>
        <v>5</v>
      </c>
      <c r="L17" s="17">
        <f>+K17/'[1]2019'!J17</f>
        <v>1</v>
      </c>
      <c r="Q17" s="18">
        <f t="shared" si="2"/>
        <v>1178</v>
      </c>
      <c r="U17">
        <v>2013</v>
      </c>
      <c r="V17">
        <v>57</v>
      </c>
    </row>
    <row r="18" spans="1:25" x14ac:dyDescent="0.2">
      <c r="A18" s="9" t="s">
        <v>30</v>
      </c>
      <c r="B18" s="10">
        <v>13250.2</v>
      </c>
      <c r="C18" s="11">
        <v>3</v>
      </c>
      <c r="D18" s="19">
        <v>4</v>
      </c>
      <c r="E18" s="21"/>
      <c r="F18" s="13"/>
      <c r="G18" s="13"/>
      <c r="H18" s="21"/>
      <c r="I18" s="13"/>
      <c r="J18" s="15">
        <f t="shared" si="0"/>
        <v>0</v>
      </c>
      <c r="K18" s="16">
        <f t="shared" si="1"/>
        <v>0</v>
      </c>
      <c r="L18" s="20">
        <f>+K18/'[1]2019'!J18</f>
        <v>0</v>
      </c>
      <c r="Q18" s="18">
        <f t="shared" si="2"/>
        <v>13250.2</v>
      </c>
      <c r="U18">
        <v>2014</v>
      </c>
      <c r="V18">
        <v>63</v>
      </c>
    </row>
    <row r="19" spans="1:25" x14ac:dyDescent="0.2">
      <c r="A19" s="9" t="s">
        <v>31</v>
      </c>
      <c r="B19" s="10">
        <v>4077.1</v>
      </c>
      <c r="C19" s="11">
        <v>2</v>
      </c>
      <c r="D19" s="19">
        <v>2</v>
      </c>
      <c r="E19" s="13"/>
      <c r="F19" s="13">
        <v>1</v>
      </c>
      <c r="G19" s="13"/>
      <c r="H19" s="13"/>
      <c r="I19" s="13"/>
      <c r="J19" s="15">
        <f t="shared" si="0"/>
        <v>1</v>
      </c>
      <c r="K19" s="16">
        <f t="shared" si="1"/>
        <v>1</v>
      </c>
      <c r="L19" s="20">
        <f>+K19/'[1]2019'!J19</f>
        <v>0.5</v>
      </c>
      <c r="Q19" s="18">
        <f t="shared" si="2"/>
        <v>4077.1</v>
      </c>
      <c r="U19">
        <v>2015</v>
      </c>
      <c r="V19">
        <v>61</v>
      </c>
      <c r="X19" s="5">
        <f>+W22/10</f>
        <v>62.3</v>
      </c>
    </row>
    <row r="20" spans="1:25" x14ac:dyDescent="0.2">
      <c r="A20" s="9" t="s">
        <v>32</v>
      </c>
      <c r="B20" s="10">
        <v>1885.6</v>
      </c>
      <c r="C20" s="11">
        <v>2</v>
      </c>
      <c r="D20" s="19">
        <v>1</v>
      </c>
      <c r="E20" s="13"/>
      <c r="F20" s="13"/>
      <c r="G20" s="13"/>
      <c r="H20" s="13"/>
      <c r="I20" s="13"/>
      <c r="J20" s="15">
        <f t="shared" si="0"/>
        <v>0</v>
      </c>
      <c r="K20" s="16">
        <f t="shared" si="1"/>
        <v>0</v>
      </c>
      <c r="L20" s="20">
        <f>+K20/'[1]2019'!J20</f>
        <v>0</v>
      </c>
      <c r="Q20" s="18">
        <f t="shared" si="2"/>
        <v>1885.6</v>
      </c>
      <c r="U20">
        <v>2016</v>
      </c>
      <c r="V20">
        <v>68</v>
      </c>
      <c r="X20" s="25">
        <f>+X19-X9</f>
        <v>-8.414285714285711</v>
      </c>
      <c r="Y20" s="5">
        <f>100/X9*X20</f>
        <v>-11.898989898989896</v>
      </c>
    </row>
    <row r="21" spans="1:25" x14ac:dyDescent="0.2">
      <c r="A21" s="9" t="s">
        <v>33</v>
      </c>
      <c r="B21" s="10">
        <f>195+137+73+74+152+238+113+55+107+1150</f>
        <v>2294</v>
      </c>
      <c r="C21" s="11">
        <v>1</v>
      </c>
      <c r="D21" s="12">
        <f>2+1</f>
        <v>3</v>
      </c>
      <c r="E21" s="21"/>
      <c r="F21" s="21"/>
      <c r="G21" s="13">
        <v>1</v>
      </c>
      <c r="H21" s="13"/>
      <c r="I21" s="14">
        <v>1</v>
      </c>
      <c r="J21" s="15">
        <f t="shared" si="0"/>
        <v>2</v>
      </c>
      <c r="K21" s="16">
        <f t="shared" si="1"/>
        <v>2</v>
      </c>
      <c r="L21" s="17">
        <f>+K21/'[1]2019'!J21</f>
        <v>0.66666666666666663</v>
      </c>
      <c r="Q21" s="18">
        <f t="shared" si="2"/>
        <v>1147</v>
      </c>
      <c r="U21" s="5">
        <v>2017</v>
      </c>
      <c r="V21" s="5">
        <v>56</v>
      </c>
    </row>
    <row r="22" spans="1:25" x14ac:dyDescent="0.2">
      <c r="A22" s="9" t="s">
        <v>34</v>
      </c>
      <c r="B22" s="10">
        <v>2100</v>
      </c>
      <c r="C22" s="11">
        <v>1</v>
      </c>
      <c r="D22" s="19">
        <v>1</v>
      </c>
      <c r="E22" s="21"/>
      <c r="F22" s="13"/>
      <c r="G22" s="13"/>
      <c r="H22" s="13">
        <v>1</v>
      </c>
      <c r="I22" s="21"/>
      <c r="J22" s="15">
        <f t="shared" si="0"/>
        <v>1</v>
      </c>
      <c r="K22" s="16">
        <f t="shared" si="1"/>
        <v>1</v>
      </c>
      <c r="L22" s="17">
        <f>+K22/'[1]2019'!J22</f>
        <v>1</v>
      </c>
      <c r="Q22" s="18">
        <f t="shared" si="2"/>
        <v>2100</v>
      </c>
      <c r="U22">
        <v>2018</v>
      </c>
      <c r="V22">
        <v>73</v>
      </c>
      <c r="W22" s="5">
        <f>SUM(V13:V22)</f>
        <v>623</v>
      </c>
    </row>
    <row r="23" spans="1:25" x14ac:dyDescent="0.2">
      <c r="A23" s="9" t="s">
        <v>35</v>
      </c>
      <c r="B23" s="10">
        <f>3221+382</f>
        <v>3603</v>
      </c>
      <c r="C23" s="11">
        <v>2</v>
      </c>
      <c r="D23" s="19">
        <v>3</v>
      </c>
      <c r="E23" s="13"/>
      <c r="F23" s="21"/>
      <c r="G23" s="21"/>
      <c r="H23" s="21"/>
      <c r="I23" s="21"/>
      <c r="J23" s="15">
        <f t="shared" si="0"/>
        <v>0</v>
      </c>
      <c r="K23" s="16">
        <f t="shared" si="1"/>
        <v>0</v>
      </c>
      <c r="L23" s="20">
        <f>+K23/'[1]2019'!J23</f>
        <v>0</v>
      </c>
      <c r="Q23" s="18">
        <f t="shared" si="2"/>
        <v>3603</v>
      </c>
      <c r="U23" s="5">
        <v>2019</v>
      </c>
      <c r="V23" s="5">
        <f>+J29</f>
        <v>61</v>
      </c>
    </row>
    <row r="24" spans="1:25" x14ac:dyDescent="0.2">
      <c r="A24" s="9" t="s">
        <v>36</v>
      </c>
      <c r="B24" s="10">
        <v>1952</v>
      </c>
      <c r="C24" s="11">
        <v>1</v>
      </c>
      <c r="D24" s="19">
        <v>2</v>
      </c>
      <c r="E24" s="13"/>
      <c r="F24" s="28"/>
      <c r="G24" s="13"/>
      <c r="H24" s="13"/>
      <c r="I24" s="13"/>
      <c r="J24" s="15">
        <f t="shared" si="0"/>
        <v>0</v>
      </c>
      <c r="K24" s="16">
        <f t="shared" si="1"/>
        <v>0</v>
      </c>
      <c r="L24" s="20">
        <f>+K24/'[1]2019'!J24</f>
        <v>0</v>
      </c>
      <c r="Q24" s="18">
        <f t="shared" si="2"/>
        <v>1952</v>
      </c>
      <c r="W24" s="5">
        <f>+W22-W12</f>
        <v>128</v>
      </c>
    </row>
    <row r="25" spans="1:25" x14ac:dyDescent="0.2">
      <c r="A25" s="29" t="s">
        <v>37</v>
      </c>
      <c r="B25" s="10">
        <v>2050</v>
      </c>
      <c r="C25" s="30"/>
      <c r="D25" s="31">
        <f>2+1+2</f>
        <v>5</v>
      </c>
      <c r="E25" s="32"/>
      <c r="F25" s="33"/>
      <c r="G25" s="32">
        <v>1</v>
      </c>
      <c r="H25" s="33">
        <v>1</v>
      </c>
      <c r="I25" s="32">
        <v>1</v>
      </c>
      <c r="J25" s="15">
        <f t="shared" si="0"/>
        <v>3</v>
      </c>
      <c r="K25" s="16">
        <f t="shared" si="1"/>
        <v>3</v>
      </c>
      <c r="L25" s="17">
        <f>+K25/'[1]2019'!J25</f>
        <v>0.6</v>
      </c>
      <c r="Q25" s="18">
        <f t="shared" si="2"/>
        <v>683.33333333333337</v>
      </c>
      <c r="W25" s="5">
        <f>+W24/10</f>
        <v>12.8</v>
      </c>
    </row>
    <row r="26" spans="1:25" x14ac:dyDescent="0.2">
      <c r="A26" s="34" t="s">
        <v>38</v>
      </c>
      <c r="B26" s="10">
        <f>1874+160.8</f>
        <v>2034.8</v>
      </c>
      <c r="C26" s="35"/>
      <c r="D26" s="36">
        <f>2+2</f>
        <v>4</v>
      </c>
      <c r="E26" s="33">
        <v>1</v>
      </c>
      <c r="F26" s="33">
        <v>1</v>
      </c>
      <c r="G26" s="37"/>
      <c r="H26" s="38">
        <v>1</v>
      </c>
      <c r="I26" s="39">
        <v>1</v>
      </c>
      <c r="J26" s="15">
        <f t="shared" si="0"/>
        <v>4</v>
      </c>
      <c r="K26" s="16">
        <f t="shared" si="1"/>
        <v>4</v>
      </c>
      <c r="L26" s="17">
        <f>+K26/'[1]2019'!J26</f>
        <v>1</v>
      </c>
      <c r="Q26" s="18">
        <f t="shared" si="2"/>
        <v>508.7</v>
      </c>
    </row>
    <row r="27" spans="1:25" x14ac:dyDescent="0.2">
      <c r="A27" s="34" t="s">
        <v>39</v>
      </c>
      <c r="B27" s="10">
        <v>3182</v>
      </c>
      <c r="C27" s="35"/>
      <c r="D27" s="40">
        <v>2</v>
      </c>
      <c r="E27" s="33"/>
      <c r="F27" s="33"/>
      <c r="G27" s="37"/>
      <c r="H27" s="33"/>
      <c r="I27" s="33">
        <v>1</v>
      </c>
      <c r="J27" s="15">
        <f t="shared" si="0"/>
        <v>1</v>
      </c>
      <c r="K27" s="16">
        <f t="shared" si="1"/>
        <v>1</v>
      </c>
      <c r="L27" s="20">
        <f>+K27/'[1]2019'!J27</f>
        <v>0.5</v>
      </c>
      <c r="Q27" s="18">
        <f t="shared" si="2"/>
        <v>3182</v>
      </c>
    </row>
    <row r="28" spans="1:25" x14ac:dyDescent="0.2">
      <c r="A28" s="34" t="s">
        <v>40</v>
      </c>
      <c r="B28" s="35"/>
      <c r="C28" s="35"/>
      <c r="D28" s="41"/>
      <c r="E28" s="33"/>
      <c r="F28" s="33"/>
      <c r="G28" s="33"/>
      <c r="H28" s="33"/>
      <c r="I28" s="33"/>
      <c r="J28" s="15">
        <f t="shared" si="0"/>
        <v>0</v>
      </c>
      <c r="K28" s="16">
        <f t="shared" si="1"/>
        <v>0</v>
      </c>
      <c r="L28" s="42"/>
      <c r="Q28" s="18"/>
    </row>
    <row r="29" spans="1:25" x14ac:dyDescent="0.2">
      <c r="A29" s="29" t="s">
        <v>41</v>
      </c>
      <c r="B29" s="43">
        <f>SUM(B3:B27)</f>
        <v>82943.600000000006</v>
      </c>
      <c r="C29" s="43">
        <f>SUM(C3:C25)</f>
        <v>73</v>
      </c>
      <c r="D29" s="44">
        <f t="shared" ref="D29:I29" si="3">SUM(D3:D27)</f>
        <v>90</v>
      </c>
      <c r="E29" s="45">
        <f t="shared" si="3"/>
        <v>15</v>
      </c>
      <c r="F29" s="45">
        <f t="shared" si="3"/>
        <v>8</v>
      </c>
      <c r="G29" s="45">
        <f t="shared" si="3"/>
        <v>12</v>
      </c>
      <c r="H29" s="45">
        <f t="shared" si="3"/>
        <v>14</v>
      </c>
      <c r="I29" s="45">
        <f t="shared" si="3"/>
        <v>12</v>
      </c>
      <c r="J29" s="15">
        <f>SUM(J3:J28)</f>
        <v>61</v>
      </c>
      <c r="K29" s="16">
        <f>SUM(K3:K28)</f>
        <v>61</v>
      </c>
      <c r="L29" s="42">
        <f>+K29/'[1]2019'!J29</f>
        <v>0.67777777777777781</v>
      </c>
      <c r="Q29" s="18">
        <f>+IF(J29=0,B29,B29/K29)</f>
        <v>1359.7311475409838</v>
      </c>
    </row>
    <row r="30" spans="1:25" x14ac:dyDescent="0.2">
      <c r="A30" s="46" t="s">
        <v>42</v>
      </c>
      <c r="B30" s="46"/>
      <c r="C30" s="46"/>
      <c r="D30" s="47">
        <f>SUM(E30:I30)</f>
        <v>78</v>
      </c>
      <c r="E30" s="48">
        <f>+F34</f>
        <v>17.16</v>
      </c>
      <c r="F30" s="48">
        <f>+F35</f>
        <v>13.65</v>
      </c>
      <c r="G30" s="48">
        <f>+F36</f>
        <v>13.65</v>
      </c>
      <c r="H30" s="48">
        <f>+F37</f>
        <v>17.16</v>
      </c>
      <c r="I30" s="48">
        <f>+F38</f>
        <v>16.38</v>
      </c>
      <c r="S30" s="5">
        <v>94680</v>
      </c>
      <c r="T30" s="49">
        <f>+S31/S30</f>
        <v>0.87603506548373467</v>
      </c>
    </row>
    <row r="31" spans="1:25" x14ac:dyDescent="0.2">
      <c r="A31" s="43" t="s">
        <v>43</v>
      </c>
      <c r="D31" s="5">
        <f>+D29</f>
        <v>90</v>
      </c>
      <c r="E31" s="18">
        <f>+$D$31*D34</f>
        <v>19.8</v>
      </c>
      <c r="F31" s="18">
        <f>+$D$31*D35</f>
        <v>15.749999999999998</v>
      </c>
      <c r="G31" s="18">
        <f>+$D$31*D36</f>
        <v>15.749999999999998</v>
      </c>
      <c r="H31" s="18">
        <f>+$D$31*D37</f>
        <v>19.8</v>
      </c>
      <c r="I31" s="18">
        <f>+$D$31*D38</f>
        <v>18.899999999999999</v>
      </c>
      <c r="J31" s="5" t="s">
        <v>44</v>
      </c>
      <c r="K31" s="5" t="s">
        <v>45</v>
      </c>
      <c r="L31" s="5" t="s">
        <v>46</v>
      </c>
      <c r="M31" s="5" t="s">
        <v>46</v>
      </c>
      <c r="N31" s="5" t="s">
        <v>47</v>
      </c>
      <c r="S31" s="5">
        <v>82943</v>
      </c>
    </row>
    <row r="32" spans="1:25" ht="13.5" thickBot="1" x14ac:dyDescent="0.25">
      <c r="D32" s="5">
        <f>SUM(D3:D27)</f>
        <v>90</v>
      </c>
      <c r="I32" s="5" t="s">
        <v>48</v>
      </c>
      <c r="J32" s="5">
        <f>(E29/2-J35)+F29+H29</f>
        <v>31</v>
      </c>
      <c r="K32" s="5">
        <f>+(E29/2-J35)+F29+H29</f>
        <v>31</v>
      </c>
      <c r="L32" s="5">
        <f>+H29+I29</f>
        <v>26</v>
      </c>
      <c r="M32" s="42">
        <f>+L32/$K$29</f>
        <v>0.42622950819672129</v>
      </c>
      <c r="N32" s="42">
        <f>+K32/$K$29</f>
        <v>0.50819672131147542</v>
      </c>
    </row>
    <row r="33" spans="1:14" ht="15.75" x14ac:dyDescent="0.25">
      <c r="A33" s="50" t="s">
        <v>49</v>
      </c>
      <c r="B33" s="51"/>
      <c r="C33" s="51"/>
      <c r="D33" s="52"/>
      <c r="E33" s="51" t="s">
        <v>50</v>
      </c>
      <c r="F33" s="51" t="s">
        <v>51</v>
      </c>
      <c r="G33" s="51" t="s">
        <v>52</v>
      </c>
      <c r="H33" s="53"/>
      <c r="I33" s="54" t="s">
        <v>53</v>
      </c>
      <c r="J33" s="5">
        <f>+(E29/2+J35)+G29+I29</f>
        <v>30</v>
      </c>
      <c r="K33" s="5">
        <f>+(E29/2+J35)+G29+I29</f>
        <v>30</v>
      </c>
      <c r="L33" s="5">
        <f>+(E29)+F29+G29</f>
        <v>35</v>
      </c>
      <c r="M33" s="42">
        <f>+L33/$K$29</f>
        <v>0.57377049180327866</v>
      </c>
      <c r="N33" s="42">
        <f>+K33/$K$29</f>
        <v>0.49180327868852458</v>
      </c>
    </row>
    <row r="34" spans="1:14" ht="15.75" x14ac:dyDescent="0.25">
      <c r="A34" s="55" t="s">
        <v>54</v>
      </c>
      <c r="B34" s="56"/>
      <c r="C34" s="56"/>
      <c r="D34" s="57">
        <v>0.22</v>
      </c>
      <c r="E34" s="56">
        <v>22</v>
      </c>
      <c r="F34" s="18">
        <f>+$E$39/100*E34</f>
        <v>17.16</v>
      </c>
      <c r="G34" s="18">
        <f>+F34*5</f>
        <v>85.8</v>
      </c>
      <c r="H34" s="58"/>
      <c r="J34" s="5">
        <f>SUM(J32:J33)</f>
        <v>61</v>
      </c>
      <c r="K34" s="5">
        <f>SUM(K32:K33)</f>
        <v>61</v>
      </c>
      <c r="L34" s="5">
        <f>SUM(L32:L33)</f>
        <v>61</v>
      </c>
      <c r="M34" s="42">
        <f>SUM(M32:M33)</f>
        <v>1</v>
      </c>
      <c r="N34" s="42">
        <f>SUM(N32:N33)</f>
        <v>1</v>
      </c>
    </row>
    <row r="35" spans="1:14" ht="15.75" x14ac:dyDescent="0.25">
      <c r="A35" s="55" t="s">
        <v>55</v>
      </c>
      <c r="B35" s="56"/>
      <c r="C35" s="56"/>
      <c r="D35" s="57">
        <v>0.17499999999999999</v>
      </c>
      <c r="E35" s="56">
        <v>17.5</v>
      </c>
      <c r="F35" s="18">
        <f>+$E$39/100*E35</f>
        <v>13.65</v>
      </c>
      <c r="G35" s="18">
        <f>+F35*5</f>
        <v>68.25</v>
      </c>
      <c r="H35" s="59"/>
      <c r="I35" s="60" t="s">
        <v>56</v>
      </c>
      <c r="J35" s="56">
        <v>-1.5</v>
      </c>
    </row>
    <row r="36" spans="1:14" ht="15.75" x14ac:dyDescent="0.25">
      <c r="A36" s="55" t="s">
        <v>57</v>
      </c>
      <c r="B36" s="56"/>
      <c r="C36" s="56"/>
      <c r="D36" s="57">
        <v>0.17499999999999999</v>
      </c>
      <c r="E36" s="56">
        <v>17.5</v>
      </c>
      <c r="F36" s="18">
        <f>+$E$39/100*E36</f>
        <v>13.65</v>
      </c>
      <c r="G36" s="18">
        <f>+F36*5</f>
        <v>68.25</v>
      </c>
      <c r="H36" s="59"/>
    </row>
    <row r="37" spans="1:14" ht="15.75" x14ac:dyDescent="0.25">
      <c r="A37" s="55" t="s">
        <v>58</v>
      </c>
      <c r="B37" s="56"/>
      <c r="C37" s="56"/>
      <c r="D37" s="57">
        <v>0.22</v>
      </c>
      <c r="E37" s="56">
        <v>22</v>
      </c>
      <c r="F37" s="18">
        <f>+$E$39/100*E37</f>
        <v>17.16</v>
      </c>
      <c r="G37" s="18">
        <f>+F37*5</f>
        <v>85.8</v>
      </c>
      <c r="H37" s="59"/>
      <c r="I37" s="5" t="s">
        <v>59</v>
      </c>
      <c r="J37" s="5" t="s">
        <v>60</v>
      </c>
      <c r="K37" s="5" t="s">
        <v>61</v>
      </c>
    </row>
    <row r="38" spans="1:14" ht="16.5" thickBot="1" x14ac:dyDescent="0.3">
      <c r="A38" s="61" t="s">
        <v>62</v>
      </c>
      <c r="B38" s="62"/>
      <c r="C38" s="62"/>
      <c r="D38" s="63">
        <v>0.21</v>
      </c>
      <c r="E38" s="64">
        <v>21</v>
      </c>
      <c r="F38" s="65">
        <f>+$E$39/100*E38</f>
        <v>16.38</v>
      </c>
      <c r="G38" s="65">
        <f>+F38*5</f>
        <v>81.899999999999991</v>
      </c>
      <c r="H38" s="66"/>
    </row>
    <row r="39" spans="1:14" ht="15.75" x14ac:dyDescent="0.25">
      <c r="A39" s="34"/>
      <c r="B39" s="34"/>
      <c r="C39" s="34"/>
      <c r="E39" s="56">
        <v>78</v>
      </c>
      <c r="F39" s="5">
        <f>SUM(F34:F38)</f>
        <v>78</v>
      </c>
      <c r="G39" s="5">
        <f>SUM(G34:G38)</f>
        <v>390</v>
      </c>
    </row>
    <row r="40" spans="1:14" x14ac:dyDescent="0.2">
      <c r="A40" s="34"/>
      <c r="B40" s="34"/>
      <c r="C40" s="34"/>
      <c r="E40" s="5" t="str">
        <f>+E1</f>
        <v xml:space="preserve">Kalv </v>
      </c>
      <c r="F40" s="5" t="str">
        <f>+F1</f>
        <v>1 ½ år,</v>
      </c>
      <c r="G40" s="5" t="str">
        <f>+G1</f>
        <v xml:space="preserve">1 ½ år gamle </v>
      </c>
      <c r="H40" s="5" t="str">
        <f>+H1</f>
        <v>Eldre hodyr</v>
      </c>
      <c r="I40" s="5" t="str">
        <f>+I1</f>
        <v>Eldre hanndyr</v>
      </c>
    </row>
    <row r="41" spans="1:14" x14ac:dyDescent="0.2">
      <c r="A41" s="67" t="s">
        <v>63</v>
      </c>
      <c r="B41" s="68">
        <v>2016</v>
      </c>
      <c r="C41" s="68"/>
      <c r="D41" s="68"/>
      <c r="E41" s="68">
        <f>+'[1]2016_felte_dyr'!E29</f>
        <v>17</v>
      </c>
      <c r="F41" s="68">
        <f>+'[1]2016_felte_dyr'!F29</f>
        <v>13</v>
      </c>
      <c r="G41" s="68">
        <f>+'[1]2016_felte_dyr'!G29</f>
        <v>12</v>
      </c>
      <c r="H41" s="68">
        <f>+'[1]2016_felte_dyr'!H29</f>
        <v>12</v>
      </c>
      <c r="I41" s="68">
        <f>+'[1]2016_felte_dyr'!I29</f>
        <v>14</v>
      </c>
      <c r="J41" s="68">
        <f>SUM(E41:I41)</f>
        <v>68</v>
      </c>
    </row>
    <row r="42" spans="1:14" x14ac:dyDescent="0.2">
      <c r="B42" s="68">
        <v>2017</v>
      </c>
      <c r="C42" s="68"/>
      <c r="D42" s="68"/>
      <c r="E42" s="68">
        <f>+'[1]2017_felte_dyr'!E29</f>
        <v>10</v>
      </c>
      <c r="F42" s="68">
        <f>+'[1]2017_felte_dyr'!F29</f>
        <v>11</v>
      </c>
      <c r="G42" s="68">
        <f>+'[1]2017_felte_dyr'!G29</f>
        <v>12</v>
      </c>
      <c r="H42" s="68">
        <f>+'[1]2017_felte_dyr'!H29</f>
        <v>11</v>
      </c>
      <c r="I42" s="68">
        <f>+'[1]2017_felte_dyr'!I29</f>
        <v>12</v>
      </c>
      <c r="J42" s="68">
        <f>SUM(E42:I42)</f>
        <v>56</v>
      </c>
    </row>
    <row r="43" spans="1:14" x14ac:dyDescent="0.2">
      <c r="B43" s="68">
        <v>2018</v>
      </c>
      <c r="C43" s="68"/>
      <c r="D43" s="68"/>
      <c r="E43" s="68">
        <f>+'[1]2018_felte_dyr'!E29</f>
        <v>15</v>
      </c>
      <c r="F43" s="68">
        <f>+'[1]2018_felte_dyr'!F29</f>
        <v>11</v>
      </c>
      <c r="G43" s="68">
        <f>+'[1]2018_felte_dyr'!G29</f>
        <v>13</v>
      </c>
      <c r="H43" s="68">
        <f>+'[1]2018_felte_dyr'!H29</f>
        <v>19</v>
      </c>
      <c r="I43" s="68">
        <f>+'[1]2018_felte_dyr'!I29</f>
        <v>15</v>
      </c>
      <c r="J43" s="68">
        <f>SUM(E43:I43)</f>
        <v>73</v>
      </c>
    </row>
    <row r="44" spans="1:14" x14ac:dyDescent="0.2">
      <c r="B44" s="68">
        <v>2019</v>
      </c>
      <c r="C44" s="68"/>
      <c r="D44" s="68"/>
      <c r="E44" s="68">
        <f>+E29</f>
        <v>15</v>
      </c>
      <c r="F44" s="68">
        <f>+F29</f>
        <v>8</v>
      </c>
      <c r="G44" s="68">
        <f>+G29</f>
        <v>12</v>
      </c>
      <c r="H44" s="68">
        <f>+H29</f>
        <v>14</v>
      </c>
      <c r="I44" s="68">
        <f>+I29</f>
        <v>12</v>
      </c>
      <c r="J44" s="68">
        <f>SUM(E44:I44)</f>
        <v>61</v>
      </c>
    </row>
    <row r="45" spans="1:14" x14ac:dyDescent="0.2">
      <c r="B45" s="68">
        <v>2020</v>
      </c>
      <c r="C45" s="68"/>
      <c r="D45" s="68"/>
      <c r="E45" s="68"/>
      <c r="F45" s="68"/>
      <c r="G45" s="68"/>
      <c r="H45" s="68"/>
      <c r="I45" s="68"/>
      <c r="J45" s="68">
        <f>SUM(E45:I45)</f>
        <v>0</v>
      </c>
    </row>
    <row r="46" spans="1:14" x14ac:dyDescent="0.2">
      <c r="B46" s="69" t="s">
        <v>12</v>
      </c>
      <c r="C46" s="69"/>
      <c r="D46" s="69"/>
      <c r="E46" s="69">
        <f t="shared" ref="E46:J46" si="4">SUM(E41:E45)</f>
        <v>57</v>
      </c>
      <c r="F46" s="69">
        <f t="shared" si="4"/>
        <v>43</v>
      </c>
      <c r="G46" s="69">
        <f t="shared" si="4"/>
        <v>49</v>
      </c>
      <c r="H46" s="69">
        <f t="shared" si="4"/>
        <v>56</v>
      </c>
      <c r="I46" s="69">
        <f t="shared" si="4"/>
        <v>53</v>
      </c>
      <c r="J46" s="69">
        <f t="shared" si="4"/>
        <v>258</v>
      </c>
    </row>
    <row r="47" spans="1:14" x14ac:dyDescent="0.2">
      <c r="B47" s="68" t="s">
        <v>64</v>
      </c>
      <c r="C47" s="68"/>
      <c r="D47" s="68"/>
      <c r="E47" s="70">
        <f>+E46/$J$46</f>
        <v>0.22093023255813954</v>
      </c>
      <c r="F47" s="70">
        <f>+F46/$J$46</f>
        <v>0.16666666666666666</v>
      </c>
      <c r="G47" s="70">
        <f>+G46/$J$46</f>
        <v>0.18992248062015504</v>
      </c>
      <c r="H47" s="70">
        <f>+H46/$J$46</f>
        <v>0.21705426356589147</v>
      </c>
      <c r="I47" s="70">
        <f>+I46/$J$46</f>
        <v>0.20542635658914729</v>
      </c>
      <c r="J47" s="68"/>
    </row>
    <row r="48" spans="1:14" x14ac:dyDescent="0.2">
      <c r="B48" s="5" t="s">
        <v>65</v>
      </c>
      <c r="F48" s="71">
        <f>+(F46+G46)/$J$46/2</f>
        <v>0.17829457364341086</v>
      </c>
    </row>
    <row r="49" spans="1:12" x14ac:dyDescent="0.2">
      <c r="B49" s="5" t="s">
        <v>66</v>
      </c>
      <c r="E49" s="72">
        <f>+E47-D34</f>
        <v>9.3023255813953765E-4</v>
      </c>
      <c r="F49" s="73">
        <f>+F47-D35</f>
        <v>-8.3333333333333315E-3</v>
      </c>
      <c r="G49" s="73">
        <f>+G47-D36</f>
        <v>1.4922480620155054E-2</v>
      </c>
      <c r="H49" s="73">
        <f>+H47-D37</f>
        <v>-2.9457364341085313E-3</v>
      </c>
      <c r="I49" s="74">
        <f>+I47-D38</f>
        <v>-4.5736434108527013E-3</v>
      </c>
    </row>
    <row r="59" spans="1:12" x14ac:dyDescent="0.2">
      <c r="A59" s="75" t="s">
        <v>67</v>
      </c>
    </row>
    <row r="60" spans="1:12" ht="25.5" x14ac:dyDescent="0.2">
      <c r="A60" s="1" t="s">
        <v>0</v>
      </c>
      <c r="B60" s="2"/>
      <c r="C60" s="2"/>
      <c r="D60" s="3" t="s">
        <v>2</v>
      </c>
      <c r="E60" s="3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 s="5">
        <v>2019</v>
      </c>
      <c r="K60" s="76" t="s">
        <v>68</v>
      </c>
      <c r="L60" s="77">
        <f ca="1">TODAY()</f>
        <v>43821</v>
      </c>
    </row>
    <row r="61" spans="1:12" ht="25.5" x14ac:dyDescent="0.2">
      <c r="A61" s="1"/>
      <c r="B61" s="6" t="s">
        <v>8</v>
      </c>
      <c r="C61" s="6"/>
      <c r="D61" s="3"/>
      <c r="E61" s="3"/>
      <c r="F61" s="7" t="s">
        <v>9</v>
      </c>
      <c r="G61" s="7" t="s">
        <v>10</v>
      </c>
      <c r="H61" s="7" t="s">
        <v>11</v>
      </c>
      <c r="I61" s="7" t="s">
        <v>11</v>
      </c>
      <c r="J61" s="8" t="s">
        <v>12</v>
      </c>
      <c r="K61" s="8" t="s">
        <v>69</v>
      </c>
      <c r="L61" s="8" t="s">
        <v>13</v>
      </c>
    </row>
    <row r="62" spans="1:12" x14ac:dyDescent="0.2">
      <c r="A62" s="9" t="s">
        <v>15</v>
      </c>
      <c r="B62" s="10">
        <v>8200</v>
      </c>
      <c r="C62" s="11"/>
      <c r="D62" s="19">
        <f t="shared" ref="D62:D86" si="5">+D3</f>
        <v>17</v>
      </c>
      <c r="E62" s="78">
        <f>+'[1]2019'!E3-E3</f>
        <v>0</v>
      </c>
      <c r="F62" s="78">
        <f>+'[1]2019'!F3-F3</f>
        <v>0</v>
      </c>
      <c r="G62" s="78">
        <f>+'[1]2019'!G3-G3</f>
        <v>-1</v>
      </c>
      <c r="H62" s="78">
        <f>+'[1]2019'!H3-H3</f>
        <v>0</v>
      </c>
      <c r="I62" s="78">
        <f>+'[1]2019'!I3-I3</f>
        <v>1</v>
      </c>
      <c r="J62" s="15">
        <f t="shared" ref="J62:J87" si="6">SUM(E62:I62)</f>
        <v>0</v>
      </c>
      <c r="K62" s="16">
        <f t="shared" ref="K62:K87" si="7">+J62</f>
        <v>0</v>
      </c>
      <c r="L62" s="42"/>
    </row>
    <row r="63" spans="1:12" x14ac:dyDescent="0.2">
      <c r="A63" s="9" t="s">
        <v>16</v>
      </c>
      <c r="B63" s="10">
        <v>2669</v>
      </c>
      <c r="C63" s="11"/>
      <c r="D63" s="19">
        <f t="shared" si="5"/>
        <v>1</v>
      </c>
      <c r="E63" s="78">
        <f>+'[1]2019'!E4-E4</f>
        <v>0</v>
      </c>
      <c r="F63" s="78">
        <f>+'[1]2019'!F4-F4</f>
        <v>1</v>
      </c>
      <c r="G63" s="78">
        <f>+'[1]2019'!G4-G4</f>
        <v>0</v>
      </c>
      <c r="H63" s="78">
        <f>+'[1]2019'!H4-H4</f>
        <v>0</v>
      </c>
      <c r="I63" s="78">
        <f>+'[1]2019'!I4-I4</f>
        <v>0</v>
      </c>
      <c r="J63" s="15">
        <f t="shared" si="6"/>
        <v>1</v>
      </c>
      <c r="K63" s="16">
        <f t="shared" si="7"/>
        <v>1</v>
      </c>
    </row>
    <row r="64" spans="1:12" x14ac:dyDescent="0.2">
      <c r="A64" s="9" t="s">
        <v>17</v>
      </c>
      <c r="B64" s="10">
        <v>2100</v>
      </c>
      <c r="C64" s="11"/>
      <c r="D64" s="19">
        <f t="shared" si="5"/>
        <v>4</v>
      </c>
      <c r="E64" s="78">
        <f>+'[1]2019'!E5-E5</f>
        <v>0</v>
      </c>
      <c r="F64" s="78">
        <f>+'[1]2019'!F5-F5</f>
        <v>1</v>
      </c>
      <c r="G64" s="78">
        <f>+'[1]2019'!G5-G5</f>
        <v>-1</v>
      </c>
      <c r="H64" s="78">
        <f>+'[1]2019'!H5-H5</f>
        <v>0</v>
      </c>
      <c r="I64" s="78">
        <f>+'[1]2019'!I5-I5</f>
        <v>0</v>
      </c>
      <c r="J64" s="15">
        <f t="shared" si="6"/>
        <v>0</v>
      </c>
      <c r="K64" s="16">
        <f t="shared" si="7"/>
        <v>0</v>
      </c>
    </row>
    <row r="65" spans="1:11" x14ac:dyDescent="0.2">
      <c r="A65" s="9" t="s">
        <v>18</v>
      </c>
      <c r="B65" s="10">
        <v>3650</v>
      </c>
      <c r="C65" s="11"/>
      <c r="D65" s="19">
        <f t="shared" si="5"/>
        <v>4</v>
      </c>
      <c r="E65" s="78">
        <f>+'[1]2019'!E6-E6</f>
        <v>-1</v>
      </c>
      <c r="F65" s="78">
        <f>+'[1]2019'!F6-F6</f>
        <v>1</v>
      </c>
      <c r="G65" s="78">
        <f>+'[1]2019'!G6-G6</f>
        <v>0</v>
      </c>
      <c r="H65" s="78">
        <f>+'[1]2019'!H6-H6</f>
        <v>0</v>
      </c>
      <c r="I65" s="78">
        <f>+'[1]2019'!I6-I6</f>
        <v>0</v>
      </c>
      <c r="J65" s="15">
        <f t="shared" si="6"/>
        <v>0</v>
      </c>
      <c r="K65" s="16">
        <f t="shared" si="7"/>
        <v>0</v>
      </c>
    </row>
    <row r="66" spans="1:11" x14ac:dyDescent="0.2">
      <c r="A66" s="9" t="s">
        <v>19</v>
      </c>
      <c r="B66" s="10">
        <v>4600</v>
      </c>
      <c r="C66" s="23"/>
      <c r="D66" s="19">
        <f t="shared" si="5"/>
        <v>4</v>
      </c>
      <c r="E66" s="78">
        <f>+'[1]2019'!E7-E7</f>
        <v>1</v>
      </c>
      <c r="F66" s="78">
        <f>+'[1]2019'!F7-F7</f>
        <v>0</v>
      </c>
      <c r="G66" s="78">
        <f>+'[1]2019'!G7-G7</f>
        <v>0</v>
      </c>
      <c r="H66" s="78">
        <f>+'[1]2019'!H7-H7</f>
        <v>1</v>
      </c>
      <c r="I66" s="78">
        <f>+'[1]2019'!I7-I7</f>
        <v>1</v>
      </c>
      <c r="J66" s="15">
        <f t="shared" si="6"/>
        <v>3</v>
      </c>
      <c r="K66" s="16">
        <f t="shared" si="7"/>
        <v>3</v>
      </c>
    </row>
    <row r="67" spans="1:11" x14ac:dyDescent="0.2">
      <c r="A67" s="9" t="s">
        <v>20</v>
      </c>
      <c r="B67" s="10">
        <f>285+401+388</f>
        <v>1074</v>
      </c>
      <c r="C67" s="11"/>
      <c r="D67" s="19">
        <f t="shared" si="5"/>
        <v>2</v>
      </c>
      <c r="E67" s="78">
        <f>+'[1]2019'!E8-E8</f>
        <v>0</v>
      </c>
      <c r="F67" s="78">
        <f>+'[1]2019'!F8-F8</f>
        <v>1</v>
      </c>
      <c r="G67" s="78">
        <f>+'[1]2019'!G8-G8</f>
        <v>0</v>
      </c>
      <c r="H67" s="78">
        <f>+'[1]2019'!H8-H8</f>
        <v>0</v>
      </c>
      <c r="I67" s="78">
        <f>+'[1]2019'!I8-I8</f>
        <v>0</v>
      </c>
      <c r="J67" s="15">
        <f t="shared" si="6"/>
        <v>1</v>
      </c>
      <c r="K67" s="16">
        <f t="shared" si="7"/>
        <v>1</v>
      </c>
    </row>
    <row r="68" spans="1:11" x14ac:dyDescent="0.2">
      <c r="A68" s="9" t="s">
        <v>21</v>
      </c>
      <c r="B68" s="10">
        <f>200+300+155+150+200+393+75+75</f>
        <v>1548</v>
      </c>
      <c r="C68" s="11"/>
      <c r="D68" s="19">
        <f t="shared" si="5"/>
        <v>1</v>
      </c>
      <c r="E68" s="78">
        <f>+'[1]2019'!E9-E9</f>
        <v>0</v>
      </c>
      <c r="F68" s="78">
        <f>+'[1]2019'!F9-F9</f>
        <v>1</v>
      </c>
      <c r="G68" s="78">
        <f>+'[1]2019'!G9-G9</f>
        <v>0</v>
      </c>
      <c r="H68" s="78">
        <f>+'[1]2019'!H9-H9</f>
        <v>0</v>
      </c>
      <c r="I68" s="78">
        <f>+'[1]2019'!I9-I9</f>
        <v>0</v>
      </c>
      <c r="J68" s="15">
        <f t="shared" si="6"/>
        <v>1</v>
      </c>
      <c r="K68" s="16">
        <f t="shared" si="7"/>
        <v>1</v>
      </c>
    </row>
    <row r="69" spans="1:11" x14ac:dyDescent="0.2">
      <c r="A69" s="9" t="s">
        <v>22</v>
      </c>
      <c r="B69" s="10">
        <v>1098.9000000000001</v>
      </c>
      <c r="C69" s="11"/>
      <c r="D69" s="19">
        <f t="shared" si="5"/>
        <v>1</v>
      </c>
      <c r="E69" s="78">
        <f>+'[1]2019'!E10-E10</f>
        <v>0</v>
      </c>
      <c r="F69" s="78">
        <f>+'[1]2019'!F10-F10</f>
        <v>0</v>
      </c>
      <c r="G69" s="78">
        <f>+'[1]2019'!G10-G10</f>
        <v>1</v>
      </c>
      <c r="H69" s="78">
        <f>+'[1]2019'!H10-H10</f>
        <v>0</v>
      </c>
      <c r="I69" s="78">
        <f>+'[1]2019'!I10-I10</f>
        <v>0</v>
      </c>
      <c r="J69" s="15">
        <f t="shared" si="6"/>
        <v>1</v>
      </c>
      <c r="K69" s="16">
        <f t="shared" si="7"/>
        <v>1</v>
      </c>
    </row>
    <row r="70" spans="1:11" x14ac:dyDescent="0.2">
      <c r="A70" s="9" t="s">
        <v>23</v>
      </c>
      <c r="B70" s="10">
        <v>1270</v>
      </c>
      <c r="C70" s="11"/>
      <c r="D70" s="19">
        <f t="shared" si="5"/>
        <v>4</v>
      </c>
      <c r="E70" s="78">
        <f>+'[1]2019'!E11-E11</f>
        <v>1</v>
      </c>
      <c r="F70" s="78">
        <f>+'[1]2019'!F11-F11</f>
        <v>0</v>
      </c>
      <c r="G70" s="78">
        <f>+'[1]2019'!G11-G11</f>
        <v>0</v>
      </c>
      <c r="H70" s="78">
        <f>+'[1]2019'!H11-H11</f>
        <v>1</v>
      </c>
      <c r="I70" s="78">
        <f>+'[1]2019'!I11-I11</f>
        <v>0</v>
      </c>
      <c r="J70" s="15">
        <f t="shared" si="6"/>
        <v>2</v>
      </c>
      <c r="K70" s="16">
        <f t="shared" si="7"/>
        <v>2</v>
      </c>
    </row>
    <row r="71" spans="1:11" x14ac:dyDescent="0.2">
      <c r="A71" s="9" t="s">
        <v>24</v>
      </c>
      <c r="B71" s="10">
        <f>26+196+15+188+10+410+360+170+1600</f>
        <v>2975</v>
      </c>
      <c r="C71" s="11"/>
      <c r="D71" s="19">
        <f t="shared" si="5"/>
        <v>6</v>
      </c>
      <c r="E71" s="78">
        <f>+'[1]2019'!E12-E12</f>
        <v>1</v>
      </c>
      <c r="F71" s="78">
        <f>+'[1]2019'!F12-F12</f>
        <v>0</v>
      </c>
      <c r="G71" s="78">
        <f>+'[1]2019'!G12-G12</f>
        <v>0</v>
      </c>
      <c r="H71" s="78">
        <f>+'[1]2019'!H12-H13</f>
        <v>1</v>
      </c>
      <c r="I71" s="78">
        <f>+'[1]2019'!I12-I12</f>
        <v>0</v>
      </c>
      <c r="J71" s="15">
        <f t="shared" si="6"/>
        <v>2</v>
      </c>
      <c r="K71" s="16">
        <f t="shared" si="7"/>
        <v>2</v>
      </c>
    </row>
    <row r="72" spans="1:11" x14ac:dyDescent="0.2">
      <c r="A72" s="9" t="s">
        <v>25</v>
      </c>
      <c r="B72" s="10">
        <v>2077</v>
      </c>
      <c r="C72" s="11"/>
      <c r="D72" s="19">
        <f t="shared" si="5"/>
        <v>4</v>
      </c>
      <c r="E72" s="78">
        <f>+'[1]2019'!E13-E13</f>
        <v>0</v>
      </c>
      <c r="F72" s="78">
        <f>+'[1]2019'!F13-F13</f>
        <v>0</v>
      </c>
      <c r="G72" s="78">
        <f>+'[1]2019'!G13-G13</f>
        <v>0</v>
      </c>
      <c r="H72" s="78">
        <f>+'[1]2019'!H13-H14</f>
        <v>0</v>
      </c>
      <c r="I72" s="78">
        <f>+'[1]2019'!I13-I13</f>
        <v>0</v>
      </c>
      <c r="J72" s="15">
        <f t="shared" si="6"/>
        <v>0</v>
      </c>
      <c r="K72" s="16">
        <f t="shared" si="7"/>
        <v>0</v>
      </c>
    </row>
    <row r="73" spans="1:11" x14ac:dyDescent="0.2">
      <c r="A73" s="9" t="s">
        <v>26</v>
      </c>
      <c r="B73" s="10">
        <v>3998</v>
      </c>
      <c r="C73" s="11"/>
      <c r="D73" s="19">
        <f t="shared" si="5"/>
        <v>5</v>
      </c>
      <c r="E73" s="78">
        <f>+'[1]2019'!E14-E14</f>
        <v>0</v>
      </c>
      <c r="F73" s="78">
        <f>+'[1]2019'!F14-F14</f>
        <v>0</v>
      </c>
      <c r="G73" s="78">
        <f>+'[1]2019'!G14-G14</f>
        <v>1</v>
      </c>
      <c r="H73" s="78">
        <f>+'[1]2019'!H14-H14</f>
        <v>0</v>
      </c>
      <c r="I73" s="78">
        <f>+'[1]2019'!I14-I14</f>
        <v>0</v>
      </c>
      <c r="J73" s="15">
        <f t="shared" si="6"/>
        <v>1</v>
      </c>
      <c r="K73" s="16">
        <f t="shared" si="7"/>
        <v>1</v>
      </c>
    </row>
    <row r="74" spans="1:11" x14ac:dyDescent="0.2">
      <c r="A74" s="9" t="s">
        <v>70</v>
      </c>
      <c r="B74" s="10">
        <v>1765</v>
      </c>
      <c r="C74" s="11"/>
      <c r="D74" s="19">
        <f t="shared" si="5"/>
        <v>3</v>
      </c>
      <c r="E74" s="78">
        <f>+'[1]2019'!E15-E15</f>
        <v>0</v>
      </c>
      <c r="F74" s="78">
        <f>+'[1]2019'!F15-F15</f>
        <v>0</v>
      </c>
      <c r="G74" s="78">
        <f>+'[1]2019'!G15-G15</f>
        <v>0</v>
      </c>
      <c r="H74" s="78">
        <f>+'[1]2019'!H15-H15</f>
        <v>0</v>
      </c>
      <c r="I74" s="78">
        <f>+'[1]2019'!I15-I15</f>
        <v>1</v>
      </c>
      <c r="J74" s="15">
        <f t="shared" si="6"/>
        <v>1</v>
      </c>
      <c r="K74" s="16">
        <f t="shared" si="7"/>
        <v>1</v>
      </c>
    </row>
    <row r="75" spans="1:11" x14ac:dyDescent="0.2">
      <c r="A75" s="9" t="s">
        <v>28</v>
      </c>
      <c r="B75" s="10">
        <v>3600</v>
      </c>
      <c r="C75" s="11"/>
      <c r="D75" s="19">
        <f t="shared" si="5"/>
        <v>2</v>
      </c>
      <c r="E75" s="78">
        <f>+'[1]2019'!E16-E16</f>
        <v>0</v>
      </c>
      <c r="F75" s="78">
        <f>+'[1]2019'!F16-F16</f>
        <v>1</v>
      </c>
      <c r="G75" s="78">
        <f>+'[1]2019'!G16-G16</f>
        <v>0</v>
      </c>
      <c r="H75" s="78">
        <f>+'[1]2019'!H16-H16</f>
        <v>0</v>
      </c>
      <c r="I75" s="78">
        <f>+'[1]2019'!I16-I16</f>
        <v>0</v>
      </c>
      <c r="J75" s="15">
        <f t="shared" si="6"/>
        <v>1</v>
      </c>
      <c r="K75" s="16">
        <f t="shared" si="7"/>
        <v>1</v>
      </c>
    </row>
    <row r="76" spans="1:11" x14ac:dyDescent="0.2">
      <c r="A76" s="9" t="s">
        <v>29</v>
      </c>
      <c r="B76" s="10">
        <v>5890</v>
      </c>
      <c r="C76" s="11"/>
      <c r="D76" s="19">
        <f t="shared" si="5"/>
        <v>5</v>
      </c>
      <c r="E76" s="78">
        <f>+'[1]2019'!E17-E17</f>
        <v>-1</v>
      </c>
      <c r="F76" s="78">
        <f>+'[1]2019'!F17-F17</f>
        <v>0</v>
      </c>
      <c r="G76" s="78">
        <f>+'[1]2019'!G17-G17</f>
        <v>0</v>
      </c>
      <c r="H76" s="78">
        <f>+'[1]2019'!H17-H17</f>
        <v>0</v>
      </c>
      <c r="I76" s="78">
        <f>+'[1]2019'!I17-I17</f>
        <v>1</v>
      </c>
      <c r="J76" s="15">
        <f t="shared" si="6"/>
        <v>0</v>
      </c>
      <c r="K76" s="16">
        <f t="shared" si="7"/>
        <v>0</v>
      </c>
    </row>
    <row r="77" spans="1:11" x14ac:dyDescent="0.2">
      <c r="A77" s="9" t="s">
        <v>30</v>
      </c>
      <c r="B77" s="10">
        <v>13250.2</v>
      </c>
      <c r="C77" s="11"/>
      <c r="D77" s="19">
        <f t="shared" si="5"/>
        <v>4</v>
      </c>
      <c r="E77" s="78">
        <f>+'[1]2019'!E18-E18</f>
        <v>1</v>
      </c>
      <c r="F77" s="78">
        <f>+'[1]2019'!F18-F18</f>
        <v>1</v>
      </c>
      <c r="G77" s="78">
        <f>+'[1]2019'!G18-G18</f>
        <v>1</v>
      </c>
      <c r="H77" s="78">
        <f>+'[1]2019'!H18-H18</f>
        <v>1</v>
      </c>
      <c r="I77" s="78">
        <f>+'[1]2019'!I18-I18</f>
        <v>0</v>
      </c>
      <c r="J77" s="15">
        <f t="shared" si="6"/>
        <v>4</v>
      </c>
      <c r="K77" s="16">
        <f t="shared" si="7"/>
        <v>4</v>
      </c>
    </row>
    <row r="78" spans="1:11" x14ac:dyDescent="0.2">
      <c r="A78" s="9" t="s">
        <v>31</v>
      </c>
      <c r="B78" s="10">
        <v>4077.1</v>
      </c>
      <c r="C78" s="11"/>
      <c r="D78" s="19">
        <f t="shared" si="5"/>
        <v>2</v>
      </c>
      <c r="E78" s="78">
        <f>+'[1]2019'!E19-E19</f>
        <v>0</v>
      </c>
      <c r="F78" s="78">
        <f>+'[1]2019'!F19-F19</f>
        <v>0</v>
      </c>
      <c r="G78" s="78">
        <f>+'[1]2019'!G19-G19</f>
        <v>1</v>
      </c>
      <c r="H78" s="78">
        <f>+'[1]2019'!H19-H19</f>
        <v>0</v>
      </c>
      <c r="I78" s="78">
        <f>+'[1]2019'!I19-I19</f>
        <v>0</v>
      </c>
      <c r="J78" s="15">
        <f t="shared" si="6"/>
        <v>1</v>
      </c>
      <c r="K78" s="16">
        <f t="shared" si="7"/>
        <v>1</v>
      </c>
    </row>
    <row r="79" spans="1:11" x14ac:dyDescent="0.2">
      <c r="A79" s="9" t="s">
        <v>32</v>
      </c>
      <c r="B79" s="10">
        <v>1885.6</v>
      </c>
      <c r="C79" s="11"/>
      <c r="D79" s="19">
        <f t="shared" si="5"/>
        <v>1</v>
      </c>
      <c r="E79" s="78">
        <f>+'[1]2019'!E20-E20</f>
        <v>0</v>
      </c>
      <c r="F79" s="78">
        <f>+'[1]2019'!F20-F20</f>
        <v>0</v>
      </c>
      <c r="G79" s="78">
        <f>+'[1]2019'!G20-G20</f>
        <v>0</v>
      </c>
      <c r="H79" s="78">
        <f>+'[1]2019'!H20-H20</f>
        <v>0</v>
      </c>
      <c r="I79" s="78">
        <f>+'[1]2019'!I20-I20</f>
        <v>1</v>
      </c>
      <c r="J79" s="15">
        <f t="shared" si="6"/>
        <v>1</v>
      </c>
      <c r="K79" s="16">
        <f t="shared" si="7"/>
        <v>1</v>
      </c>
    </row>
    <row r="80" spans="1:11" x14ac:dyDescent="0.2">
      <c r="A80" s="9" t="s">
        <v>33</v>
      </c>
      <c r="B80" s="10">
        <f>195+137+73+74+152+238+113+55+107+1150</f>
        <v>2294</v>
      </c>
      <c r="C80" s="11"/>
      <c r="D80" s="19">
        <f t="shared" si="5"/>
        <v>3</v>
      </c>
      <c r="E80" s="78">
        <f>+'[1]2019'!E21-E21</f>
        <v>0</v>
      </c>
      <c r="F80" s="78">
        <f>+'[1]2019'!F21-F21</f>
        <v>1</v>
      </c>
      <c r="G80" s="78">
        <f>+'[1]2019'!G21-G21</f>
        <v>0</v>
      </c>
      <c r="H80" s="78">
        <f>+'[1]2019'!H21-H21</f>
        <v>0</v>
      </c>
      <c r="I80" s="78">
        <f>+'[1]2019'!I21-I21</f>
        <v>0</v>
      </c>
      <c r="J80" s="15">
        <f t="shared" si="6"/>
        <v>1</v>
      </c>
      <c r="K80" s="16">
        <f t="shared" si="7"/>
        <v>1</v>
      </c>
    </row>
    <row r="81" spans="1:11" x14ac:dyDescent="0.2">
      <c r="A81" s="9" t="s">
        <v>34</v>
      </c>
      <c r="B81" s="10">
        <v>2100</v>
      </c>
      <c r="C81" s="11"/>
      <c r="D81" s="19">
        <f t="shared" si="5"/>
        <v>1</v>
      </c>
      <c r="E81" s="78">
        <f>+'[1]2019'!E22-E22</f>
        <v>0</v>
      </c>
      <c r="F81" s="78">
        <f>+'[1]2019'!F22-F22</f>
        <v>1</v>
      </c>
      <c r="G81" s="78">
        <f>+'[1]2019'!G22-G22</f>
        <v>0</v>
      </c>
      <c r="H81" s="78">
        <f>+'[1]2019'!H22-H22</f>
        <v>-1</v>
      </c>
      <c r="I81" s="78">
        <f>+'[1]2019'!I22-I22</f>
        <v>0</v>
      </c>
      <c r="J81" s="15">
        <f t="shared" si="6"/>
        <v>0</v>
      </c>
      <c r="K81" s="16">
        <f t="shared" si="7"/>
        <v>0</v>
      </c>
    </row>
    <row r="82" spans="1:11" x14ac:dyDescent="0.2">
      <c r="A82" s="9" t="s">
        <v>35</v>
      </c>
      <c r="B82" s="10">
        <f>3221+382</f>
        <v>3603</v>
      </c>
      <c r="C82" s="11"/>
      <c r="D82" s="19">
        <f t="shared" si="5"/>
        <v>3</v>
      </c>
      <c r="E82" s="78">
        <f>+'[1]2019'!E23-E23</f>
        <v>1</v>
      </c>
      <c r="F82" s="78">
        <f>+'[1]2019'!F23-F23</f>
        <v>0</v>
      </c>
      <c r="G82" s="78">
        <f>+'[1]2019'!G23-G23</f>
        <v>1</v>
      </c>
      <c r="H82" s="78">
        <f>+'[1]2019'!H23-H23</f>
        <v>1</v>
      </c>
      <c r="I82" s="78">
        <f>+'[1]2019'!I23-I23</f>
        <v>0</v>
      </c>
      <c r="J82" s="15">
        <f t="shared" si="6"/>
        <v>3</v>
      </c>
      <c r="K82" s="16">
        <f t="shared" si="7"/>
        <v>3</v>
      </c>
    </row>
    <row r="83" spans="1:11" x14ac:dyDescent="0.2">
      <c r="A83" s="9" t="s">
        <v>36</v>
      </c>
      <c r="B83" s="10">
        <v>1952</v>
      </c>
      <c r="C83" s="11"/>
      <c r="D83" s="19">
        <f t="shared" si="5"/>
        <v>2</v>
      </c>
      <c r="E83" s="78">
        <f>+'[1]2019'!E24-E24</f>
        <v>1</v>
      </c>
      <c r="F83" s="78">
        <f>+'[1]2019'!F24-F24</f>
        <v>0</v>
      </c>
      <c r="G83" s="78">
        <f>+'[1]2019'!G24-G24</f>
        <v>0</v>
      </c>
      <c r="H83" s="78">
        <f>+'[1]2019'!H24-H24</f>
        <v>1</v>
      </c>
      <c r="I83" s="78">
        <f>+'[1]2019'!I24-I24</f>
        <v>0</v>
      </c>
      <c r="J83" s="15">
        <f t="shared" si="6"/>
        <v>2</v>
      </c>
      <c r="K83" s="16">
        <f t="shared" si="7"/>
        <v>2</v>
      </c>
    </row>
    <row r="84" spans="1:11" x14ac:dyDescent="0.2">
      <c r="A84" s="29" t="s">
        <v>37</v>
      </c>
      <c r="B84" s="10">
        <v>2050</v>
      </c>
      <c r="C84" s="30"/>
      <c r="D84" s="19">
        <f t="shared" si="5"/>
        <v>5</v>
      </c>
      <c r="E84" s="78">
        <f>+'[1]2019'!E25-E25</f>
        <v>1</v>
      </c>
      <c r="F84" s="78">
        <f>+'[1]2019'!F25-F25</f>
        <v>1</v>
      </c>
      <c r="G84" s="78">
        <f>+'[1]2019'!G25-G25</f>
        <v>0</v>
      </c>
      <c r="H84" s="78">
        <f>+'[1]2019'!H25-H25</f>
        <v>0</v>
      </c>
      <c r="I84" s="78">
        <f>+'[1]2019'!I25-I25</f>
        <v>0</v>
      </c>
      <c r="J84" s="15">
        <f t="shared" si="6"/>
        <v>2</v>
      </c>
      <c r="K84" s="16">
        <f t="shared" si="7"/>
        <v>2</v>
      </c>
    </row>
    <row r="85" spans="1:11" x14ac:dyDescent="0.2">
      <c r="A85" s="34" t="s">
        <v>38</v>
      </c>
      <c r="B85" s="10">
        <f>1874+160.8</f>
        <v>2034.8</v>
      </c>
      <c r="C85" s="79"/>
      <c r="D85" s="19">
        <f t="shared" si="5"/>
        <v>4</v>
      </c>
      <c r="E85" s="78">
        <f>+'[1]2019'!E26-E26</f>
        <v>0</v>
      </c>
      <c r="F85" s="78">
        <f>+'[1]2019'!F26-F26</f>
        <v>0</v>
      </c>
      <c r="G85" s="78">
        <f>+'[1]2019'!G26-G26</f>
        <v>1</v>
      </c>
      <c r="H85" s="78">
        <f>+'[1]2019'!H26-H26</f>
        <v>0</v>
      </c>
      <c r="I85" s="78">
        <f>+'[1]2019'!I26-I26</f>
        <v>-1</v>
      </c>
      <c r="J85" s="15">
        <f t="shared" si="6"/>
        <v>0</v>
      </c>
      <c r="K85" s="16">
        <f t="shared" si="7"/>
        <v>0</v>
      </c>
    </row>
    <row r="86" spans="1:11" x14ac:dyDescent="0.2">
      <c r="A86" s="34" t="s">
        <v>39</v>
      </c>
      <c r="B86" s="10">
        <v>3182</v>
      </c>
      <c r="C86" s="79"/>
      <c r="D86" s="19">
        <f t="shared" si="5"/>
        <v>2</v>
      </c>
      <c r="E86" s="78">
        <f>+'[1]2019'!E27-E27</f>
        <v>0</v>
      </c>
      <c r="F86" s="78">
        <f>+'[1]2019'!F27-F27</f>
        <v>1</v>
      </c>
      <c r="G86" s="78">
        <f>+'[1]2019'!G27-G27</f>
        <v>0</v>
      </c>
      <c r="H86" s="78">
        <f>+'[1]2019'!H27-H27</f>
        <v>0</v>
      </c>
      <c r="I86" s="78">
        <f>+'[1]2019'!I27-I27</f>
        <v>0</v>
      </c>
      <c r="J86" s="15">
        <f t="shared" si="6"/>
        <v>1</v>
      </c>
      <c r="K86" s="16">
        <f t="shared" si="7"/>
        <v>1</v>
      </c>
    </row>
    <row r="87" spans="1:11" x14ac:dyDescent="0.2">
      <c r="A87" s="34" t="s">
        <v>40</v>
      </c>
      <c r="B87" s="79"/>
      <c r="C87" s="79"/>
      <c r="D87" s="80">
        <f>(16+7)-9-5-9</f>
        <v>0</v>
      </c>
      <c r="E87" s="78">
        <f>+'[1]2019'!E28-E28</f>
        <v>0</v>
      </c>
      <c r="F87" s="78">
        <f>+'[1]2019'!F28-F28</f>
        <v>0</v>
      </c>
      <c r="G87" s="78">
        <f>+'[1]2019'!G28-G28</f>
        <v>0</v>
      </c>
      <c r="H87" s="78">
        <f>+'[1]2019'!H28-H28</f>
        <v>0</v>
      </c>
      <c r="I87" s="78">
        <f>+'[1]2019'!I28-I28</f>
        <v>0</v>
      </c>
      <c r="J87" s="15">
        <f t="shared" si="6"/>
        <v>0</v>
      </c>
      <c r="K87" s="16">
        <f t="shared" si="7"/>
        <v>0</v>
      </c>
    </row>
    <row r="88" spans="1:11" x14ac:dyDescent="0.2">
      <c r="A88" s="29" t="s">
        <v>71</v>
      </c>
      <c r="B88" s="43">
        <f>SUM(B62:B86)</f>
        <v>82943.600000000006</v>
      </c>
      <c r="C88" s="43">
        <f>SUM(C62:C85)</f>
        <v>0</v>
      </c>
      <c r="D88" s="81">
        <f t="shared" ref="D88:K88" si="8">SUM(D62:D87)</f>
        <v>90</v>
      </c>
      <c r="E88" s="45">
        <f t="shared" si="8"/>
        <v>5</v>
      </c>
      <c r="F88" s="45">
        <f t="shared" si="8"/>
        <v>11</v>
      </c>
      <c r="G88" s="45">
        <f t="shared" si="8"/>
        <v>4</v>
      </c>
      <c r="H88" s="45">
        <f t="shared" si="8"/>
        <v>5</v>
      </c>
      <c r="I88" s="82">
        <f>SUM(I62:I87)</f>
        <v>4</v>
      </c>
      <c r="J88" s="15">
        <f t="shared" si="8"/>
        <v>29</v>
      </c>
      <c r="K88" s="83">
        <f t="shared" si="8"/>
        <v>29</v>
      </c>
    </row>
    <row r="89" spans="1:11" x14ac:dyDescent="0.2">
      <c r="A89" s="34" t="s">
        <v>72</v>
      </c>
      <c r="B89" s="46"/>
      <c r="C89" s="46"/>
      <c r="D89" s="47">
        <f>SUM(E89:I89)</f>
        <v>61</v>
      </c>
      <c r="E89" s="48">
        <f>+E44</f>
        <v>15</v>
      </c>
      <c r="F89" s="48">
        <f>+F44</f>
        <v>8</v>
      </c>
      <c r="G89" s="48">
        <f>+G44</f>
        <v>12</v>
      </c>
      <c r="H89" s="48">
        <f>+H44</f>
        <v>14</v>
      </c>
      <c r="I89" s="48">
        <f>+I44</f>
        <v>12</v>
      </c>
    </row>
    <row r="90" spans="1:11" x14ac:dyDescent="0.2">
      <c r="A90" s="34" t="s">
        <v>73</v>
      </c>
      <c r="D90" s="5">
        <f>SUM(E90:I90)</f>
        <v>90</v>
      </c>
      <c r="E90" s="5">
        <f>SUM(E88:E89)</f>
        <v>20</v>
      </c>
      <c r="F90" s="5">
        <f>SUM(F88:F89)</f>
        <v>19</v>
      </c>
      <c r="G90" s="5">
        <f>SUM(G88:G89)</f>
        <v>16</v>
      </c>
      <c r="H90" s="5">
        <f>SUM(H88:H89)</f>
        <v>19</v>
      </c>
      <c r="I90" s="5">
        <f>SUM(I88:I89)</f>
        <v>16</v>
      </c>
    </row>
    <row r="91" spans="1:11" x14ac:dyDescent="0.2">
      <c r="A91" s="46" t="s">
        <v>74</v>
      </c>
      <c r="D91" s="18">
        <f t="shared" ref="D91:I91" si="9">+D31</f>
        <v>90</v>
      </c>
      <c r="E91" s="18">
        <f t="shared" si="9"/>
        <v>19.8</v>
      </c>
      <c r="F91" s="18">
        <f t="shared" si="9"/>
        <v>15.749999999999998</v>
      </c>
      <c r="G91" s="18">
        <f t="shared" si="9"/>
        <v>15.749999999999998</v>
      </c>
      <c r="H91" s="18">
        <f t="shared" si="9"/>
        <v>19.8</v>
      </c>
      <c r="I91" s="18">
        <f t="shared" si="9"/>
        <v>18.899999999999999</v>
      </c>
    </row>
    <row r="92" spans="1:11" x14ac:dyDescent="0.2">
      <c r="A92" s="34" t="s">
        <v>75</v>
      </c>
      <c r="E92" s="84">
        <f>+E91-E90</f>
        <v>-0.19999999999999929</v>
      </c>
      <c r="F92" s="84">
        <f>+F91-F90</f>
        <v>-3.2500000000000018</v>
      </c>
      <c r="G92" s="84">
        <f>+G91-G90</f>
        <v>-0.25000000000000178</v>
      </c>
      <c r="H92" s="84">
        <f>+H91-H90</f>
        <v>0.80000000000000071</v>
      </c>
      <c r="I92" s="84">
        <f>+I91-I90</f>
        <v>2.8999999999999986</v>
      </c>
    </row>
    <row r="93" spans="1:11" x14ac:dyDescent="0.2">
      <c r="A93" s="34" t="s">
        <v>76</v>
      </c>
      <c r="E93" s="42">
        <f>+'[1]Felte_dyr samlet 2016-2020'!E49</f>
        <v>0.22093023255813954</v>
      </c>
      <c r="F93" s="42">
        <f>+'[1]Felte_dyr samlet 2016-2020'!F49</f>
        <v>0.16666666666666666</v>
      </c>
      <c r="G93" s="42">
        <f>+'[1]Felte_dyr samlet 2016-2020'!G49</f>
        <v>0.18992248062015504</v>
      </c>
      <c r="H93" s="42">
        <f>+'[1]Felte_dyr samlet 2016-2020'!H49</f>
        <v>0.21705426356589147</v>
      </c>
      <c r="I93" s="42">
        <f>+'[1]Felte_dyr samlet 2016-2020'!I49</f>
        <v>0.20542635658914729</v>
      </c>
    </row>
    <row r="94" spans="1:11" x14ac:dyDescent="0.2">
      <c r="A94" s="85" t="s">
        <v>77</v>
      </c>
      <c r="B94" s="86"/>
      <c r="C94" s="86"/>
      <c r="D94" s="86"/>
      <c r="E94" s="87">
        <f>+D34</f>
        <v>0.22</v>
      </c>
      <c r="F94" s="87">
        <f>+D35</f>
        <v>0.17499999999999999</v>
      </c>
      <c r="G94" s="87">
        <f>+D36</f>
        <v>0.17499999999999999</v>
      </c>
      <c r="H94" s="87">
        <f>+D37</f>
        <v>0.22</v>
      </c>
      <c r="I94" s="87">
        <f>+D38</f>
        <v>0.21</v>
      </c>
    </row>
    <row r="95" spans="1:11" x14ac:dyDescent="0.2">
      <c r="A95" s="88" t="s">
        <v>78</v>
      </c>
      <c r="B95" s="89"/>
      <c r="C95" s="89"/>
      <c r="D95" s="89"/>
      <c r="E95" s="90">
        <f>+E94/E93-1</f>
        <v>-4.2105263157894424E-3</v>
      </c>
      <c r="F95" s="90">
        <f>+F94/F93-1</f>
        <v>5.0000000000000044E-2</v>
      </c>
      <c r="G95" s="90">
        <f>+G94/G93-1</f>
        <v>-7.8571428571428625E-2</v>
      </c>
      <c r="H95" s="90">
        <f>+H94/H93-1</f>
        <v>1.3571428571428568E-2</v>
      </c>
      <c r="I95" s="90">
        <f>+I94/I93-1</f>
        <v>2.2264150943396066E-2</v>
      </c>
    </row>
    <row r="97" spans="1:10" x14ac:dyDescent="0.2">
      <c r="E97" s="49">
        <f>+E93-E94</f>
        <v>9.3023255813953765E-4</v>
      </c>
      <c r="F97" s="49">
        <f>+F93-F94</f>
        <v>-8.3333333333333315E-3</v>
      </c>
      <c r="G97" s="49">
        <f>+G93-G94</f>
        <v>1.4922480620155054E-2</v>
      </c>
      <c r="H97" s="49">
        <f>+H93-H94</f>
        <v>-2.9457364341085313E-3</v>
      </c>
      <c r="I97" s="49">
        <f>+I93-I94</f>
        <v>-4.5736434108527013E-3</v>
      </c>
    </row>
    <row r="99" spans="1:10" ht="15.75" x14ac:dyDescent="0.25">
      <c r="A99" s="91" t="s">
        <v>79</v>
      </c>
      <c r="B99" s="92"/>
      <c r="C99" s="92"/>
      <c r="D99" s="92"/>
      <c r="E99" s="93" t="s">
        <v>80</v>
      </c>
      <c r="F99" s="93" t="s">
        <v>81</v>
      </c>
      <c r="G99" s="93" t="s">
        <v>82</v>
      </c>
      <c r="H99" s="93" t="s">
        <v>83</v>
      </c>
      <c r="I99" s="93" t="s">
        <v>84</v>
      </c>
      <c r="J99" s="93" t="s">
        <v>85</v>
      </c>
    </row>
    <row r="100" spans="1:10" x14ac:dyDescent="0.2">
      <c r="A100" s="93" t="s">
        <v>86</v>
      </c>
      <c r="B100" s="92"/>
      <c r="C100" s="92"/>
      <c r="D100" s="92"/>
      <c r="E100" s="92">
        <f t="shared" ref="E100:I102" si="10">+E41</f>
        <v>17</v>
      </c>
      <c r="F100" s="92">
        <f t="shared" si="10"/>
        <v>13</v>
      </c>
      <c r="G100" s="92">
        <f t="shared" si="10"/>
        <v>12</v>
      </c>
      <c r="H100" s="92">
        <f t="shared" si="10"/>
        <v>12</v>
      </c>
      <c r="I100" s="92">
        <f t="shared" si="10"/>
        <v>14</v>
      </c>
      <c r="J100" s="93">
        <f>SUM(E100:I100)</f>
        <v>68</v>
      </c>
    </row>
    <row r="101" spans="1:10" x14ac:dyDescent="0.2">
      <c r="A101" s="93" t="s">
        <v>87</v>
      </c>
      <c r="B101" s="92"/>
      <c r="C101" s="92"/>
      <c r="D101" s="92"/>
      <c r="E101" s="92">
        <f t="shared" si="10"/>
        <v>10</v>
      </c>
      <c r="F101" s="92">
        <f t="shared" si="10"/>
        <v>11</v>
      </c>
      <c r="G101" s="92">
        <f t="shared" si="10"/>
        <v>12</v>
      </c>
      <c r="H101" s="92">
        <f t="shared" si="10"/>
        <v>11</v>
      </c>
      <c r="I101" s="92">
        <f t="shared" si="10"/>
        <v>12</v>
      </c>
      <c r="J101" s="93">
        <f>SUM(E101:I101)</f>
        <v>56</v>
      </c>
    </row>
    <row r="102" spans="1:10" x14ac:dyDescent="0.2">
      <c r="A102" s="93" t="s">
        <v>88</v>
      </c>
      <c r="B102" s="92"/>
      <c r="C102" s="92"/>
      <c r="D102" s="92"/>
      <c r="E102" s="92">
        <f t="shared" si="10"/>
        <v>15</v>
      </c>
      <c r="F102" s="92">
        <f t="shared" si="10"/>
        <v>11</v>
      </c>
      <c r="G102" s="92">
        <f t="shared" si="10"/>
        <v>13</v>
      </c>
      <c r="H102" s="92">
        <f t="shared" si="10"/>
        <v>19</v>
      </c>
      <c r="I102" s="92">
        <f t="shared" si="10"/>
        <v>15</v>
      </c>
      <c r="J102" s="93">
        <f>SUM(E102:I102)</f>
        <v>73</v>
      </c>
    </row>
    <row r="103" spans="1:10" x14ac:dyDescent="0.2">
      <c r="A103" s="93" t="s">
        <v>89</v>
      </c>
      <c r="B103" s="92"/>
      <c r="C103" s="92"/>
      <c r="D103" s="92"/>
      <c r="E103" s="92">
        <f>+E44</f>
        <v>15</v>
      </c>
      <c r="F103" s="92">
        <f>+F44</f>
        <v>8</v>
      </c>
      <c r="G103" s="92">
        <f>+G44</f>
        <v>12</v>
      </c>
      <c r="H103" s="92">
        <f>+H44</f>
        <v>14</v>
      </c>
      <c r="I103" s="92">
        <f>+I44</f>
        <v>12</v>
      </c>
      <c r="J103" s="93">
        <f>SUM(E103:I103)</f>
        <v>61</v>
      </c>
    </row>
    <row r="104" spans="1:10" x14ac:dyDescent="0.2">
      <c r="A104" s="93" t="s">
        <v>90</v>
      </c>
      <c r="B104" s="92"/>
      <c r="C104" s="92"/>
      <c r="D104" s="92"/>
      <c r="E104" s="92"/>
      <c r="F104" s="92"/>
      <c r="G104" s="92"/>
      <c r="H104" s="92"/>
      <c r="I104" s="92"/>
      <c r="J104" s="92"/>
    </row>
    <row r="105" spans="1:10" x14ac:dyDescent="0.2">
      <c r="A105" s="94" t="s">
        <v>91</v>
      </c>
      <c r="B105" s="94"/>
      <c r="C105" s="94"/>
      <c r="D105" s="94"/>
      <c r="E105" s="94">
        <f t="shared" ref="E105:J105" si="11">SUM(E100:E104)</f>
        <v>57</v>
      </c>
      <c r="F105" s="94">
        <f t="shared" si="11"/>
        <v>43</v>
      </c>
      <c r="G105" s="94">
        <f t="shared" si="11"/>
        <v>49</v>
      </c>
      <c r="H105" s="94">
        <f t="shared" si="11"/>
        <v>56</v>
      </c>
      <c r="I105" s="94">
        <f t="shared" si="11"/>
        <v>53</v>
      </c>
      <c r="J105" s="94">
        <f t="shared" si="11"/>
        <v>258</v>
      </c>
    </row>
    <row r="106" spans="1:10" x14ac:dyDescent="0.2">
      <c r="A106" s="95" t="s">
        <v>92</v>
      </c>
      <c r="B106" s="95"/>
      <c r="C106" s="95"/>
      <c r="D106" s="95"/>
      <c r="E106" s="96">
        <f>+E105/$J$105</f>
        <v>0.22093023255813954</v>
      </c>
      <c r="F106" s="96">
        <f>+F105/$J$105</f>
        <v>0.16666666666666666</v>
      </c>
      <c r="G106" s="96">
        <f>+G105/$J$105</f>
        <v>0.18992248062015504</v>
      </c>
      <c r="H106" s="96">
        <f>+H105/$J$105</f>
        <v>0.21705426356589147</v>
      </c>
      <c r="I106" s="96">
        <f>+I105/$J$105</f>
        <v>0.20542635658914729</v>
      </c>
      <c r="J106" s="92"/>
    </row>
    <row r="107" spans="1:10" x14ac:dyDescent="0.2">
      <c r="A107" s="97" t="s">
        <v>93</v>
      </c>
      <c r="B107" s="97"/>
      <c r="C107" s="97"/>
      <c r="D107" s="97"/>
      <c r="E107" s="98">
        <f>+D34</f>
        <v>0.22</v>
      </c>
      <c r="F107" s="98">
        <f>+D35</f>
        <v>0.17499999999999999</v>
      </c>
      <c r="G107" s="98">
        <f>+D36</f>
        <v>0.17499999999999999</v>
      </c>
      <c r="H107" s="98">
        <f>+D37</f>
        <v>0.22</v>
      </c>
      <c r="I107" s="98">
        <f>+D38</f>
        <v>0.21</v>
      </c>
      <c r="J107" s="92"/>
    </row>
    <row r="108" spans="1:10" x14ac:dyDescent="0.2">
      <c r="A108" s="93" t="s">
        <v>94</v>
      </c>
      <c r="B108" s="92"/>
      <c r="C108" s="92"/>
      <c r="D108" s="92"/>
      <c r="E108" s="99">
        <f>+E107*$J$105</f>
        <v>56.76</v>
      </c>
      <c r="F108" s="99">
        <f>+$J$105*F107</f>
        <v>45.15</v>
      </c>
      <c r="G108" s="99">
        <f>+$J$105*G107</f>
        <v>45.15</v>
      </c>
      <c r="H108" s="99">
        <f>+$J$105*H107</f>
        <v>56.76</v>
      </c>
      <c r="I108" s="99">
        <f>+$J$105*I107</f>
        <v>54.18</v>
      </c>
      <c r="J108" s="99">
        <f>SUM(E108:I108)</f>
        <v>258</v>
      </c>
    </row>
    <row r="109" spans="1:10" x14ac:dyDescent="0.2">
      <c r="A109" s="93" t="s">
        <v>95</v>
      </c>
      <c r="B109" s="92"/>
      <c r="C109" s="92"/>
      <c r="D109" s="92"/>
      <c r="E109" s="100">
        <f>+E108-E105</f>
        <v>-0.24000000000000199</v>
      </c>
      <c r="F109" s="100">
        <f>+F108-F105</f>
        <v>2.1499999999999986</v>
      </c>
      <c r="G109" s="100">
        <f>+G108-G105</f>
        <v>-3.8500000000000014</v>
      </c>
      <c r="H109" s="100">
        <f>+H108-H105</f>
        <v>0.75999999999999801</v>
      </c>
      <c r="I109" s="100">
        <f>+I108-I105</f>
        <v>1.1799999999999997</v>
      </c>
      <c r="J109" s="92"/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2019-12-22T09:05:24Z</dcterms:created>
  <dcterms:modified xsi:type="dcterms:W3CDTF">2019-12-22T09:05:56Z</dcterms:modified>
</cp:coreProperties>
</file>